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39.xml" ContentType="application/vnd.openxmlformats-officedocument.drawingml.chartshap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ml.chartshapes+xml"/>
  <Override PartName="/xl/drawings/drawing28.xml" ContentType="application/vnd.openxmlformats-officedocument.drawingml.chartshapes+xml"/>
  <Default Extension="xml" ContentType="application/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5.xml" ContentType="application/vnd.openxmlformats-officedocument.drawingml.chartshapes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+xml"/>
  <Override PartName="/xl/tables/table1.xml" ContentType="application/vnd.openxmlformats-officedocument.spreadsheetml.table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drawings/drawing18.xml" ContentType="application/vnd.openxmlformats-officedocument.drawingml.chartshapes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xl/drawings/drawing25.xml" ContentType="application/vnd.openxmlformats-officedocument.drawingml.chartshapes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23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drawings/drawing41.xml" ContentType="application/vnd.openxmlformats-officedocument.drawingml.chartshapes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drawings/drawing12.xml" ContentType="application/vnd.openxmlformats-officedocument.drawingml.chartshapes+xml"/>
  <Override PartName="/xl/drawings/drawing21.xml" ContentType="application/vnd.openxmlformats-officedocument.drawingml.chartshapes+xml"/>
  <Override PartName="/xl/charts/chart17.xml" ContentType="application/vnd.openxmlformats-officedocument.drawingml.chart+xml"/>
  <Override PartName="/xl/drawings/drawing30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attachedToolbars.bin" ContentType="application/vnd.ms-excel.attachedToolbars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tables/table2.xml" ContentType="application/vnd.openxmlformats-officedocument.spreadsheetml.tabl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37.xml" ContentType="application/vnd.openxmlformats-officedocument.drawingml.chartshapes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externalLinks/externalLink3.xml" ContentType="application/vnd.openxmlformats-officedocument.spreadsheetml.externalLink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charts/chart14.xml" ContentType="application/vnd.openxmlformats-officedocument.drawingml.char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2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always" codeName="ThisWorkbook" hidePivotFieldList="1"/>
  <bookViews>
    <workbookView xWindow="7185" yWindow="-150" windowWidth="10125" windowHeight="9180" tabRatio="684" activeTab="22"/>
  </bookViews>
  <sheets>
    <sheet name="1.1" sheetId="1" r:id="rId1"/>
    <sheet name="1.2" sheetId="127" r:id="rId2"/>
    <sheet name="g 1.1" sheetId="96" r:id="rId3"/>
    <sheet name="oldg 1.1 (2)" sheetId="92" state="hidden" r:id="rId4"/>
    <sheet name="1.1d" sheetId="3" state="hidden" r:id="rId5"/>
    <sheet name="1.3" sheetId="76" r:id="rId6"/>
    <sheet name="1.4" sheetId="5" r:id="rId7"/>
    <sheet name="1.5" sheetId="6" r:id="rId8"/>
    <sheet name="1.6" sheetId="7" r:id="rId9"/>
    <sheet name="1.7" sheetId="128" r:id="rId10"/>
    <sheet name="1.8" sheetId="129" r:id="rId11"/>
    <sheet name="1.9" sheetId="11" r:id="rId12"/>
    <sheet name="1.10" sheetId="12" r:id="rId13"/>
    <sheet name="g 1.2" sheetId="112" r:id="rId14"/>
    <sheet name="g1.3" sheetId="83" r:id="rId15"/>
    <sheet name="1.11" sheetId="15" r:id="rId16"/>
    <sheet name="1.12" sheetId="16" r:id="rId17"/>
    <sheet name="1.13" sheetId="17" r:id="rId18"/>
    <sheet name="1.14" sheetId="18" r:id="rId19"/>
    <sheet name="2.1" sheetId="131" r:id="rId20"/>
    <sheet name="2.2" sheetId="25" r:id="rId21"/>
    <sheet name="g2.1" sheetId="145" r:id="rId22"/>
    <sheet name="g2.2" sheetId="132" r:id="rId23"/>
    <sheet name="2.3" sheetId="27" r:id="rId24"/>
    <sheet name="2.4" sheetId="28" r:id="rId25"/>
    <sheet name="2.5" sheetId="32" r:id="rId26"/>
    <sheet name="g2.3" sheetId="33" r:id="rId27"/>
    <sheet name="g2.4" sheetId="133" r:id="rId28"/>
    <sheet name="2.6" sheetId="34" r:id="rId29"/>
    <sheet name="2.7" sheetId="35" r:id="rId30"/>
    <sheet name="2.8" sheetId="134" r:id="rId31"/>
    <sheet name="g2.5 g2.6" sheetId="98" r:id="rId32"/>
    <sheet name="g2.8 g2.9" sheetId="99" r:id="rId33"/>
    <sheet name="3.1" sheetId="113" r:id="rId34"/>
    <sheet name="3.2" sheetId="39" r:id="rId35"/>
    <sheet name="3.3" sheetId="40" r:id="rId36"/>
    <sheet name="3.4" sheetId="41" r:id="rId37"/>
    <sheet name="3.5" sheetId="42" r:id="rId38"/>
    <sheet name="g3.1" sheetId="143" r:id="rId39"/>
    <sheet name="g.3.1 error" sheetId="117" state="hidden" r:id="rId40"/>
    <sheet name="3.6" sheetId="100" r:id="rId41"/>
    <sheet name="3.7" sheetId="45" r:id="rId42"/>
    <sheet name="3.8" sheetId="46" r:id="rId43"/>
    <sheet name=" g3.2" sheetId="140" r:id="rId44"/>
    <sheet name="g3.2 2007" sheetId="90" state="hidden" r:id="rId45"/>
    <sheet name="3.9" sheetId="47" r:id="rId46"/>
    <sheet name="g3.3" sheetId="147" r:id="rId47"/>
    <sheet name="3.10" sheetId="48" r:id="rId48"/>
    <sheet name="3.11" sheetId="49" r:id="rId49"/>
    <sheet name=" 3.12" sheetId="50" r:id="rId50"/>
    <sheet name=" 3.13" sheetId="79" r:id="rId51"/>
    <sheet name="3.14" sheetId="54" r:id="rId52"/>
    <sheet name="3.13b" sheetId="55" state="hidden" r:id="rId53"/>
    <sheet name="3.13 (m3 por s)" sheetId="58" state="hidden" r:id="rId54"/>
    <sheet name=" g3.4" sheetId="126" r:id="rId55"/>
    <sheet name="4.1" sheetId="88" r:id="rId56"/>
    <sheet name="4.2 no incluida" sheetId="60" state="hidden" r:id="rId57"/>
    <sheet name="g4.1" sheetId="120" r:id="rId58"/>
    <sheet name="g4.2" sheetId="137" r:id="rId59"/>
    <sheet name="06-07" sheetId="122" state="hidden" r:id="rId60"/>
    <sheet name="Dom" sheetId="121" state="hidden" r:id="rId61"/>
    <sheet name="4.2" sheetId="62" r:id="rId62"/>
    <sheet name=" 4.3" sheetId="61" r:id="rId63"/>
    <sheet name="5.1" sheetId="66" r:id="rId64"/>
    <sheet name="5.2" sheetId="89" r:id="rId65"/>
    <sheet name="5.3" sheetId="69" r:id="rId66"/>
    <sheet name="5.4" sheetId="70" r:id="rId67"/>
    <sheet name="5.5" sheetId="71" r:id="rId68"/>
    <sheet name="5.6" sheetId="105" r:id="rId69"/>
    <sheet name="g 5.1" sheetId="123" r:id="rId70"/>
    <sheet name="g 5.2" sheetId="124" r:id="rId71"/>
    <sheet name="5.8" sheetId="72" r:id="rId72"/>
  </sheets>
  <externalReferences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___F1_G1" localSheetId="21">#REF!</definedName>
    <definedName name="___F1_G1" localSheetId="46">#REF!</definedName>
    <definedName name="___F1_G1">#REF!</definedName>
    <definedName name="__F1_G1" localSheetId="31">#REF!</definedName>
    <definedName name="_4" localSheetId="54">[1]Hoja1!#REF!</definedName>
    <definedName name="_4" localSheetId="1">[1]Hoja1!#REF!</definedName>
    <definedName name="_4" localSheetId="9">[1]Hoja1!#REF!</definedName>
    <definedName name="_4" localSheetId="10">[1]Hoja1!#REF!</definedName>
    <definedName name="_4" localSheetId="40">[1]Hoja1!#REF!</definedName>
    <definedName name="_4" localSheetId="55">[1]Hoja1!#REF!</definedName>
    <definedName name="_4" localSheetId="2">[1]Hoja1!#REF!</definedName>
    <definedName name="_4" localSheetId="13">[1]Hoja1!#REF!</definedName>
    <definedName name="_4" localSheetId="39">[1]Hoja1!#REF!</definedName>
    <definedName name="_4" localSheetId="21">[1]Hoja1!#REF!</definedName>
    <definedName name="_4" localSheetId="22">[2]Hoja1!#REF!</definedName>
    <definedName name="_4" localSheetId="27">[2]Hoja1!#REF!</definedName>
    <definedName name="_4" localSheetId="31">[1]Hoja1!#REF!</definedName>
    <definedName name="_4" localSheetId="46">[1]Hoja1!#REF!</definedName>
    <definedName name="_4" localSheetId="3">[1]Hoja1!#REF!</definedName>
    <definedName name="_4">[1]Hoja1!#REF!</definedName>
    <definedName name="_5" localSheetId="54">[1]Hoja1!#REF!</definedName>
    <definedName name="_5" localSheetId="1">[1]Hoja1!#REF!</definedName>
    <definedName name="_5" localSheetId="9">[1]Hoja1!#REF!</definedName>
    <definedName name="_5" localSheetId="10">[1]Hoja1!#REF!</definedName>
    <definedName name="_5" localSheetId="40">[1]Hoja1!#REF!</definedName>
    <definedName name="_5" localSheetId="55">[1]Hoja1!#REF!</definedName>
    <definedName name="_5" localSheetId="2">[1]Hoja1!#REF!</definedName>
    <definedName name="_5" localSheetId="13">[1]Hoja1!#REF!</definedName>
    <definedName name="_5" localSheetId="39">[1]Hoja1!#REF!</definedName>
    <definedName name="_5" localSheetId="21">[1]Hoja1!#REF!</definedName>
    <definedName name="_5" localSheetId="22">[2]Hoja1!#REF!</definedName>
    <definedName name="_5" localSheetId="27">[2]Hoja1!#REF!</definedName>
    <definedName name="_5" localSheetId="31">[1]Hoja1!#REF!</definedName>
    <definedName name="_5" localSheetId="46">[1]Hoja1!#REF!</definedName>
    <definedName name="_5" localSheetId="3">[1]Hoja1!#REF!</definedName>
    <definedName name="_5">[1]Hoja1!#REF!</definedName>
    <definedName name="_F1_G1" localSheetId="1">#REF!</definedName>
    <definedName name="_F1_G1" localSheetId="9">#REF!</definedName>
    <definedName name="_F1_G1" localSheetId="10">#REF!</definedName>
    <definedName name="_F1_G1" localSheetId="33">#REF!</definedName>
    <definedName name="_F1_G1" localSheetId="2">#REF!</definedName>
    <definedName name="_F1_G1" localSheetId="13">#REF!</definedName>
    <definedName name="_F1_G1" localSheetId="39">#REF!</definedName>
    <definedName name="_F1_G1" localSheetId="21">#REF!</definedName>
    <definedName name="_F1_G1" localSheetId="22">#REF!</definedName>
    <definedName name="_F1_G1" localSheetId="27">#REF!</definedName>
    <definedName name="_F1_G1" localSheetId="31">#REF!</definedName>
    <definedName name="_F1_G1" localSheetId="46">#REF!</definedName>
    <definedName name="_F1_G1">#REF!</definedName>
    <definedName name="_Fill" localSheetId="1" hidden="1">#REF!</definedName>
    <definedName name="_Fill" localSheetId="9" hidden="1">#REF!</definedName>
    <definedName name="_Fill" localSheetId="10" hidden="1">#REF!</definedName>
    <definedName name="_Fill" localSheetId="33" hidden="1">#REF!</definedName>
    <definedName name="_Fill" localSheetId="40" hidden="1">#REF!</definedName>
    <definedName name="_Fill" localSheetId="2" hidden="1">#REF!</definedName>
    <definedName name="_Fill" localSheetId="13" hidden="1">#REF!</definedName>
    <definedName name="_Fill" localSheetId="39" hidden="1">#REF!</definedName>
    <definedName name="_Fill" localSheetId="21" hidden="1">#REF!</definedName>
    <definedName name="_Fill" localSheetId="31" hidden="1">#REF!</definedName>
    <definedName name="_Fill" localSheetId="46" hidden="1">#REF!</definedName>
    <definedName name="_Fill" hidden="1">#REF!</definedName>
    <definedName name="_Regression_Int" localSheetId="30" hidden="1">1</definedName>
    <definedName name="A_impresión_IM" localSheetId="1">#REF!</definedName>
    <definedName name="A_impresión_IM" localSheetId="9">#REF!</definedName>
    <definedName name="A_impresión_IM" localSheetId="10">#REF!</definedName>
    <definedName name="A_impresión_IM" localSheetId="30">'2.8'!$C$2:$AW$45</definedName>
    <definedName name="A_impresión_IM" localSheetId="33">#REF!</definedName>
    <definedName name="A_impresión_IM" localSheetId="40">#REF!</definedName>
    <definedName name="A_impresión_IM" localSheetId="2">#REF!</definedName>
    <definedName name="A_impresión_IM" localSheetId="13">#REF!</definedName>
    <definedName name="A_impresión_IM" localSheetId="39">#REF!</definedName>
    <definedName name="A_impresión_IM" localSheetId="21">#REF!</definedName>
    <definedName name="A_impresión_IM" localSheetId="22">#REF!</definedName>
    <definedName name="A_impresión_IM" localSheetId="27">#REF!</definedName>
    <definedName name="A_impresión_IM" localSheetId="31">#REF!</definedName>
    <definedName name="A_impresión_IM" localSheetId="46">#REF!</definedName>
    <definedName name="A_impresión_IM">#REF!</definedName>
    <definedName name="_xlnm.Print_Area" localSheetId="49">' 3.12'!$A$1:$G$42</definedName>
    <definedName name="_xlnm.Print_Area" localSheetId="50">' 3.13'!$A$1:$AK$38</definedName>
    <definedName name="_xlnm.Print_Area" localSheetId="62">' 4.3'!$A$1:$E$41</definedName>
    <definedName name="_xlnm.Print_Area" localSheetId="43">' g3.2'!$A$7:$O$39</definedName>
    <definedName name="_xlnm.Print_Area" localSheetId="54">' g3.4'!$B$9:$D$34</definedName>
    <definedName name="_xlnm.Print_Area" localSheetId="0">'1.1'!$A$1:$H$27</definedName>
    <definedName name="_xlnm.Print_Area" localSheetId="12">'1.10'!$A$1:$J$21</definedName>
    <definedName name="_xlnm.Print_Area" localSheetId="15">'1.11'!$A$1:$H$45</definedName>
    <definedName name="_xlnm.Print_Area" localSheetId="16">'1.12'!$A$1:$I$44</definedName>
    <definedName name="_xlnm.Print_Area" localSheetId="17">'1.13'!$A$1:$H$43</definedName>
    <definedName name="_xlnm.Print_Area" localSheetId="18">'1.14'!$A$1:$H$43</definedName>
    <definedName name="_xlnm.Print_Area" localSheetId="1">'1.2'!$A$1:$H$14</definedName>
    <definedName name="_xlnm.Print_Area" localSheetId="5">'1.3'!$A$1:$E$41</definedName>
    <definedName name="_xlnm.Print_Area" localSheetId="6">'1.4'!$A$1:$F$19</definedName>
    <definedName name="_xlnm.Print_Area" localSheetId="7">'1.5'!$B$2:$G$43</definedName>
    <definedName name="_xlnm.Print_Area" localSheetId="8">'1.6'!$B$2:$H$43</definedName>
    <definedName name="_xlnm.Print_Area" localSheetId="9">'1.7'!$A$1:$I$21</definedName>
    <definedName name="_xlnm.Print_Area" localSheetId="10">'1.8'!$A$1:$I$17</definedName>
    <definedName name="_xlnm.Print_Area" localSheetId="11">'1.9'!$A$1:$I$20</definedName>
    <definedName name="_xlnm.Print_Area" localSheetId="19">'2.1'!$A$1:$M$40</definedName>
    <definedName name="_xlnm.Print_Area" localSheetId="20">'2.2'!$A$1:$H$16</definedName>
    <definedName name="_xlnm.Print_Area" localSheetId="23">'2.3'!$A$1:$H$16</definedName>
    <definedName name="_xlnm.Print_Area" localSheetId="24">'2.4'!$A$1:$H$16</definedName>
    <definedName name="_xlnm.Print_Area" localSheetId="25">'2.5'!$A$1:$H$16</definedName>
    <definedName name="_xlnm.Print_Area" localSheetId="28">'2.6'!$A$1:$H$16</definedName>
    <definedName name="_xlnm.Print_Area" localSheetId="29">'2.7'!$A$1:$H$16</definedName>
    <definedName name="_xlnm.Print_Area" localSheetId="30">'2.8'!$A$1:$BF$48</definedName>
    <definedName name="_xlnm.Print_Area" localSheetId="33">'3.1'!$A$1:$H$24</definedName>
    <definedName name="_xlnm.Print_Area" localSheetId="47">'3.10'!$A$1:$F$25</definedName>
    <definedName name="_xlnm.Print_Area" localSheetId="48">'3.11'!$A$1:$F$38</definedName>
    <definedName name="_xlnm.Print_Area" localSheetId="51">'3.14'!$A$1:$P$40</definedName>
    <definedName name="_xlnm.Print_Area" localSheetId="34">'3.2'!$A$1:$F$39</definedName>
    <definedName name="_xlnm.Print_Area" localSheetId="35">'3.3'!$A$2:$X$38</definedName>
    <definedName name="_xlnm.Print_Area" localSheetId="36">'3.4'!$A$1:$F$24</definedName>
    <definedName name="_xlnm.Print_Area" localSheetId="40">'3.6'!$B$4:$X$42</definedName>
    <definedName name="_xlnm.Print_Area" localSheetId="42">'3.8'!$A$1:$L$13</definedName>
    <definedName name="_xlnm.Print_Area" localSheetId="45">'3.9'!$B$2:$L$8</definedName>
    <definedName name="_xlnm.Print_Area" localSheetId="55">'4.1'!$B$2:$I$39</definedName>
    <definedName name="_xlnm.Print_Area" localSheetId="61">'4.2'!$B$2:$D$7</definedName>
    <definedName name="_xlnm.Print_Area" localSheetId="63">'5.1'!$A$1:$H$39</definedName>
    <definedName name="_xlnm.Print_Area" localSheetId="65">'5.3'!$A$1:$D$11</definedName>
    <definedName name="_xlnm.Print_Area" localSheetId="66">'5.4'!$A$1:$E$14</definedName>
    <definedName name="_xlnm.Print_Area" localSheetId="67">'5.5'!$A$2:$G$38</definedName>
    <definedName name="_xlnm.Print_Area" localSheetId="68">'5.6'!$B$3:$E$47</definedName>
    <definedName name="_xlnm.Print_Area" localSheetId="71">'5.8'!$A$1:$G$40</definedName>
    <definedName name="_xlnm.Print_Area" localSheetId="60">Dom!$A$42:$H$76</definedName>
    <definedName name="_xlnm.Print_Area" localSheetId="2">'g 1.1'!$B$15:$L$54</definedName>
    <definedName name="_xlnm.Print_Area" localSheetId="13">'g 1.2'!$B$14:$E$36</definedName>
    <definedName name="_xlnm.Print_Area" localSheetId="69">'g 5.1'!$B$26:$I$55</definedName>
    <definedName name="_xlnm.Print_Area" localSheetId="70">'g 5.2'!$B$26:$I$53</definedName>
    <definedName name="_xlnm.Print_Area" localSheetId="39">'g.3.1 error'!$O$2:$AC$37</definedName>
    <definedName name="_xlnm.Print_Area" localSheetId="14">g1.3!$B$3:$I$25</definedName>
    <definedName name="_xlnm.Print_Area" localSheetId="21">g2.1!$C$1:$N$37</definedName>
    <definedName name="_xlnm.Print_Area" localSheetId="22">g2.2!$A$2:$J$37</definedName>
    <definedName name="_xlnm.Print_Area" localSheetId="26">g2.3!$A$1:$N$34</definedName>
    <definedName name="_xlnm.Print_Area" localSheetId="27">g2.4!$B$1:$M$36</definedName>
    <definedName name="_xlnm.Print_Area" localSheetId="31">'g2.5 g2.6'!$B$2:$R$43</definedName>
    <definedName name="_xlnm.Print_Area" localSheetId="32">'g2.8 g2.9'!$J$10:$U$65</definedName>
    <definedName name="_xlnm.Print_Area" localSheetId="38">g3.1!$B$2:$P$42</definedName>
    <definedName name="_xlnm.Print_Area" localSheetId="44">'g3.2 2007'!$B$8:$K$31</definedName>
    <definedName name="_xlnm.Print_Area" localSheetId="46">g3.3!$B$13:$J$39</definedName>
    <definedName name="_xlnm.Print_Area" localSheetId="57">g4.1!$A$1:$P$49</definedName>
    <definedName name="_xlnm.Print_Area" localSheetId="3">'oldg 1.1 (2)'!$B$14:$L$55</definedName>
    <definedName name="DIFERENCIAS">#N/A</definedName>
    <definedName name="jj" localSheetId="46">[1]Hoja1!#REF!</definedName>
    <definedName name="jj">[1]Hoja1!#REF!</definedName>
    <definedName name="VARIABLES">#N/A</definedName>
    <definedName name="Z_48A744A8_8180_4A3B_8108_49EF41816969_.wvu.Cols" localSheetId="15" hidden="1">'1.11'!$J:$K</definedName>
    <definedName name="Z_48A744A8_8180_4A3B_8108_49EF41816969_.wvu.Cols" localSheetId="16" hidden="1">'1.12'!$G:$G</definedName>
    <definedName name="Z_48A744A8_8180_4A3B_8108_49EF41816969_.wvu.Cols" localSheetId="17" hidden="1">'1.13'!$F:$F</definedName>
    <definedName name="Z_48A744A8_8180_4A3B_8108_49EF41816969_.wvu.Cols" localSheetId="18" hidden="1">'1.14'!#REF!</definedName>
    <definedName name="Z_48A744A8_8180_4A3B_8108_49EF41816969_.wvu.Cols" localSheetId="19" hidden="1">'2.1'!$C:$C</definedName>
    <definedName name="Z_48A744A8_8180_4A3B_8108_49EF41816969_.wvu.Cols" localSheetId="30" hidden="1">'2.8'!$J:$Q,'2.8'!$AL:$AS</definedName>
    <definedName name="Z_48A744A8_8180_4A3B_8108_49EF41816969_.wvu.Cols" localSheetId="61" hidden="1">'4.2'!$C:$C</definedName>
    <definedName name="Z_48A744A8_8180_4A3B_8108_49EF41816969_.wvu.Cols" localSheetId="63" hidden="1">'5.1'!$E:$F</definedName>
    <definedName name="Z_48A744A8_8180_4A3B_8108_49EF41816969_.wvu.Cols" localSheetId="68" hidden="1">'5.6'!$E:$E</definedName>
    <definedName name="Z_48A744A8_8180_4A3B_8108_49EF41816969_.wvu.Cols" localSheetId="71" hidden="1">'5.8'!$E:$E</definedName>
    <definedName name="Z_48A744A8_8180_4A3B_8108_49EF41816969_.wvu.PrintArea" localSheetId="8" hidden="1">'1.6'!$A$1:$H$50</definedName>
    <definedName name="Z_48A744A8_8180_4A3B_8108_49EF41816969_.wvu.PrintArea" localSheetId="30" hidden="1">'2.8'!$A$1:$BF$47</definedName>
    <definedName name="Z_48A744A8_8180_4A3B_8108_49EF41816969_.wvu.PrintArea" localSheetId="35" hidden="1">'3.3'!$A$1:$N$38</definedName>
    <definedName name="Z_48A744A8_8180_4A3B_8108_49EF41816969_.wvu.PrintArea" localSheetId="40" hidden="1">'3.6'!$B$1:$W$39</definedName>
    <definedName name="Z_48A744A8_8180_4A3B_8108_49EF41816969_.wvu.PrintArea" localSheetId="68" hidden="1">'5.6'!$A$1:$F$48</definedName>
    <definedName name="Z_48A744A8_8180_4A3B_8108_49EF41816969_.wvu.PrintArea" localSheetId="13" hidden="1">'g 1.2'!$B$13:$H$35</definedName>
    <definedName name="Z_48A744A8_8180_4A3B_8108_49EF41816969_.wvu.PrintArea" localSheetId="21" hidden="1">g2.1!$A$1:$I$33</definedName>
    <definedName name="Z_48A744A8_8180_4A3B_8108_49EF41816969_.wvu.PrintArea" localSheetId="22" hidden="1">g2.2!$A$1:$K$37</definedName>
    <definedName name="Z_48A744A8_8180_4A3B_8108_49EF41816969_.wvu.PrintArea" localSheetId="26" hidden="1">g2.3!$B$1:$J$32</definedName>
    <definedName name="Z_48A744A8_8180_4A3B_8108_49EF41816969_.wvu.PrintArea" localSheetId="27" hidden="1">g2.4!$B$1:$O$36</definedName>
    <definedName name="Z_48A744A8_8180_4A3B_8108_49EF41816969_.wvu.PrintArea" localSheetId="46" hidden="1">g3.3!$B$12:$J$38</definedName>
    <definedName name="Z_48A744A8_8180_4A3B_8108_49EF41816969_.wvu.Rows" localSheetId="12" hidden="1">'1.10'!#REF!</definedName>
    <definedName name="Z_48A744A8_8180_4A3B_8108_49EF41816969_.wvu.Rows" localSheetId="17" hidden="1">'1.13'!$38:$39</definedName>
    <definedName name="Z_48A744A8_8180_4A3B_8108_49EF41816969_.wvu.Rows" localSheetId="18" hidden="1">'1.14'!$38:$38</definedName>
    <definedName name="Z_48A744A8_8180_4A3B_8108_49EF41816969_.wvu.Rows" localSheetId="4" hidden="1">'1.1d'!$7:$18,'1.1d'!$20:$20,'1.1d'!$22:$22,'1.1d'!$26:$26</definedName>
    <definedName name="Z_48A744A8_8180_4A3B_8108_49EF41816969_.wvu.Rows" localSheetId="11" hidden="1">'1.9'!$23:$23</definedName>
    <definedName name="Z_48A744A8_8180_4A3B_8108_49EF41816969_.wvu.Rows" localSheetId="42" hidden="1">'3.8'!$16:$16</definedName>
    <definedName name="Z_48A744A8_8180_4A3B_8108_49EF41816969_.wvu.Rows" localSheetId="63" hidden="1">'5.1'!$43:$43</definedName>
    <definedName name="Z_48A744A8_8180_4A3B_8108_49EF41816969_.wvu.Rows" localSheetId="71" hidden="1">'5.8'!$36:$37</definedName>
    <definedName name="Z_6DCFE324_2DF9_4BB0_88BD_A4AD316C7A9E_.wvu.Cols" localSheetId="68" hidden="1">'5.6'!$E:$E</definedName>
    <definedName name="Z_6DCFE324_2DF9_4BB0_88BD_A4AD316C7A9E_.wvu.Cols" localSheetId="22" hidden="1">g2.2!#REF!</definedName>
    <definedName name="Z_6DCFE324_2DF9_4BB0_88BD_A4AD316C7A9E_.wvu.Cols" localSheetId="27" hidden="1">g2.4!$L:$M</definedName>
    <definedName name="Z_6DCFE324_2DF9_4BB0_88BD_A4AD316C7A9E_.wvu.PrintArea" localSheetId="40" hidden="1">'3.6'!$B$1:$W$39</definedName>
    <definedName name="Z_6DCFE324_2DF9_4BB0_88BD_A4AD316C7A9E_.wvu.PrintArea" localSheetId="68" hidden="1">'5.6'!$A$1:$F$48</definedName>
    <definedName name="Z_6DCFE324_2DF9_4BB0_88BD_A4AD316C7A9E_.wvu.PrintArea" localSheetId="13" hidden="1">'g 1.2'!$B$13:$H$35</definedName>
    <definedName name="Z_6DCFE324_2DF9_4BB0_88BD_A4AD316C7A9E_.wvu.PrintArea" localSheetId="21" hidden="1">g2.1!$A$1:$I$33</definedName>
    <definedName name="Z_6DCFE324_2DF9_4BB0_88BD_A4AD316C7A9E_.wvu.PrintArea" localSheetId="22" hidden="1">g2.2!$A$2:$J$37</definedName>
    <definedName name="Z_6DCFE324_2DF9_4BB0_88BD_A4AD316C7A9E_.wvu.PrintArea" localSheetId="26" hidden="1">g2.3!$B$1:$J$32</definedName>
    <definedName name="Z_6DCFE324_2DF9_4BB0_88BD_A4AD316C7A9E_.wvu.PrintArea" localSheetId="27" hidden="1">g2.4!$B$1:$M$36</definedName>
    <definedName name="Z_6DCFE324_2DF9_4BB0_88BD_A4AD316C7A9E_.wvu.PrintArea" localSheetId="38" hidden="1">g3.1!$B$2:$P$42</definedName>
    <definedName name="Z_6DCFE324_2DF9_4BB0_88BD_A4AD316C7A9E_.wvu.PrintArea" localSheetId="46" hidden="1">g3.3!$B$12:$J$38</definedName>
    <definedName name="Z_6DCFE324_2DF9_4BB0_88BD_A4AD316C7A9E_.wvu.Rows" localSheetId="4" hidden="1">'1.1d'!$7:$18,'1.1d'!$20:$20,'1.1d'!$22:$22,'1.1d'!$26:$26</definedName>
    <definedName name="Z_8147A8E0_0E68_473D_8FEE_471FE5899555_.wvu.Cols" localSheetId="30" hidden="1">'2.8'!$J:$Q,'2.8'!$AL:$AS</definedName>
    <definedName name="Z_8147A8E0_0E68_473D_8FEE_471FE5899555_.wvu.Cols" localSheetId="22" hidden="1">g2.2!#REF!</definedName>
    <definedName name="Z_8147A8E0_0E68_473D_8FEE_471FE5899555_.wvu.Cols" localSheetId="27" hidden="1">g2.4!$L:$M</definedName>
    <definedName name="Z_8147A8E0_0E68_473D_8FEE_471FE5899555_.wvu.PrintArea" localSheetId="19" hidden="1">'2.1'!$A$1:$M$40</definedName>
    <definedName name="Z_8147A8E0_0E68_473D_8FEE_471FE5899555_.wvu.PrintArea" localSheetId="30" hidden="1">'2.8'!$A$1:$BF$48</definedName>
    <definedName name="Z_8147A8E0_0E68_473D_8FEE_471FE5899555_.wvu.PrintArea" localSheetId="40" hidden="1">'3.6'!$B$1:$W$39</definedName>
    <definedName name="Z_8147A8E0_0E68_473D_8FEE_471FE5899555_.wvu.PrintArea" localSheetId="39" hidden="1">'g.3.1 error'!$B$1:$E$34</definedName>
    <definedName name="Z_8147A8E0_0E68_473D_8FEE_471FE5899555_.wvu.PrintArea" localSheetId="22" hidden="1">g2.2!$A$2:$J$37</definedName>
    <definedName name="Z_8147A8E0_0E68_473D_8FEE_471FE5899555_.wvu.PrintArea" localSheetId="27" hidden="1">g2.4!$B$1:$M$36</definedName>
    <definedName name="Z_8147A8E0_0E68_473D_8FEE_471FE5899555_.wvu.PrintArea" localSheetId="38" hidden="1">g3.1!$B$2:$P$42</definedName>
    <definedName name="Z_8147A8E0_0E68_473D_8FEE_471FE5899555_.wvu.Rows" localSheetId="30" hidden="1">'2.8'!$7:$7</definedName>
    <definedName name="Z_9BF398E0_33D8_4E64_94A2_9B7C822C8383_.wvu.Cols" localSheetId="18" hidden="1">'1.14'!#REF!</definedName>
    <definedName name="Z_9BF398E0_33D8_4E64_94A2_9B7C822C8383_.wvu.Cols" localSheetId="19" hidden="1">'2.1'!$D:$D</definedName>
    <definedName name="Z_9BF398E0_33D8_4E64_94A2_9B7C822C8383_.wvu.Cols" localSheetId="30" hidden="1">'2.8'!$J:$S,'2.8'!$AD:$AD,'2.8'!$AL:$AU</definedName>
    <definedName name="Z_9BF398E0_33D8_4E64_94A2_9B7C822C8383_.wvu.Cols" localSheetId="63" hidden="1">'5.1'!$E:$F</definedName>
    <definedName name="Z_9BF398E0_33D8_4E64_94A2_9B7C822C8383_.wvu.PrintArea" localSheetId="6" hidden="1">'1.4'!$A$1:$F$19</definedName>
    <definedName name="Z_9BF398E0_33D8_4E64_94A2_9B7C822C8383_.wvu.PrintArea" localSheetId="9" hidden="1">'1.7'!$A$1:$I$21</definedName>
    <definedName name="Z_9BF398E0_33D8_4E64_94A2_9B7C822C8383_.wvu.PrintArea" localSheetId="10" hidden="1">'1.8'!$A$1:$I$17</definedName>
    <definedName name="Z_9BF398E0_33D8_4E64_94A2_9B7C822C8383_.wvu.PrintArea" localSheetId="20" hidden="1">'2.2'!$A$1:$H$16</definedName>
    <definedName name="Z_9BF398E0_33D8_4E64_94A2_9B7C822C8383_.wvu.PrintArea" localSheetId="24" hidden="1">'2.4'!$A$1:$I$16</definedName>
    <definedName name="Z_9BF398E0_33D8_4E64_94A2_9B7C822C8383_.wvu.PrintArea" localSheetId="28" hidden="1">'2.6'!$A$1:$H$16</definedName>
    <definedName name="Z_9BF398E0_33D8_4E64_94A2_9B7C822C8383_.wvu.PrintArea" localSheetId="29" hidden="1">'2.7'!$A$1:$H$16</definedName>
    <definedName name="Z_9BF398E0_33D8_4E64_94A2_9B7C822C8383_.wvu.PrintArea" localSheetId="30" hidden="1">'2.8'!$A$1:$BF$47</definedName>
    <definedName name="Z_9BF398E0_33D8_4E64_94A2_9B7C822C8383_.wvu.PrintArea" localSheetId="33" hidden="1">'3.1'!$A$1:$L$24</definedName>
    <definedName name="Z_9BF398E0_33D8_4E64_94A2_9B7C822C8383_.wvu.PrintArea" localSheetId="51" hidden="1">'3.14'!$A$1:$V$40</definedName>
    <definedName name="Z_9BF398E0_33D8_4E64_94A2_9B7C822C8383_.wvu.PrintArea" localSheetId="34" hidden="1">'3.2'!$A$1:$F$39</definedName>
    <definedName name="Z_9BF398E0_33D8_4E64_94A2_9B7C822C8383_.wvu.PrintArea" localSheetId="35" hidden="1">'3.3'!$A$1:$N$38</definedName>
    <definedName name="Z_9BF398E0_33D8_4E64_94A2_9B7C822C8383_.wvu.PrintArea" localSheetId="36" hidden="1">'3.4'!$A$1:$F$23</definedName>
    <definedName name="Z_9BF398E0_33D8_4E64_94A2_9B7C822C8383_.wvu.PrintArea" localSheetId="66" hidden="1">'5.4'!$A$1:$E$15</definedName>
    <definedName name="Z_9BF398E0_33D8_4E64_94A2_9B7C822C8383_.wvu.PrintArea" localSheetId="71" hidden="1">'5.8'!$A$2:$G$39</definedName>
    <definedName name="Z_9BF398E0_33D8_4E64_94A2_9B7C822C8383_.wvu.PrintArea" localSheetId="13" hidden="1">'g 1.2'!$A$13:$I$36</definedName>
    <definedName name="Z_9BF398E0_33D8_4E64_94A2_9B7C822C8383_.wvu.PrintArea" localSheetId="14" hidden="1">g1.3!$A$2:$K$34</definedName>
    <definedName name="Z_9BF398E0_33D8_4E64_94A2_9B7C822C8383_.wvu.PrintArea" localSheetId="21" hidden="1">g2.1!$A$1:$I$33</definedName>
    <definedName name="Z_9BF398E0_33D8_4E64_94A2_9B7C822C8383_.wvu.PrintArea" localSheetId="22" hidden="1">g2.2!$A$1:$K$37</definedName>
    <definedName name="Z_9BF398E0_33D8_4E64_94A2_9B7C822C8383_.wvu.PrintArea" localSheetId="26" hidden="1">g2.3!$B$1:$J$32</definedName>
    <definedName name="Z_9BF398E0_33D8_4E64_94A2_9B7C822C8383_.wvu.PrintArea" localSheetId="27" hidden="1">g2.4!$B$1:$O$36</definedName>
    <definedName name="Z_9BF398E0_33D8_4E64_94A2_9B7C822C8383_.wvu.Rows" localSheetId="4" hidden="1">'1.1d'!$7:$18,'1.1d'!$20:$20,'1.1d'!$22:$22,'1.1d'!$26:$26</definedName>
    <definedName name="Z_9BF398E0_33D8_4E64_94A2_9B7C822C8383_.wvu.Rows" localSheetId="6" hidden="1">'1.4'!#REF!</definedName>
    <definedName name="Z_9E220BD5_A526_40BD_8239_3A0461590922_.wvu.PrintArea" localSheetId="34" hidden="1">'3.2'!$A$1:$F$38</definedName>
    <definedName name="Z_9E220BD5_A526_40BD_8239_3A0461590922_.wvu.PrintArea" localSheetId="36" hidden="1">'3.4'!$A$1:$F$23</definedName>
    <definedName name="Z_9E220BD5_A526_40BD_8239_3A0461590922_.wvu.PrintArea" localSheetId="37" hidden="1">'3.5'!$A$1:$F$40</definedName>
    <definedName name="Z_9E220BD5_A526_40BD_8239_3A0461590922_.wvu.PrintArea" localSheetId="13" hidden="1">'g 1.2'!$A$13:$I$36</definedName>
    <definedName name="Z_9E220BD5_A526_40BD_8239_3A0461590922_.wvu.PrintArea" localSheetId="14" hidden="1">g1.3!$A$2:$K$34</definedName>
    <definedName name="Z_9E220BD5_A526_40BD_8239_3A0461590922_.wvu.PrintArea" localSheetId="21" hidden="1">g2.1!$A$1:$I$33</definedName>
    <definedName name="Z_9E220BD5_A526_40BD_8239_3A0461590922_.wvu.PrintArea" localSheetId="22" hidden="1">g2.2!$A$1:$K$37</definedName>
    <definedName name="Z_9E220BD5_A526_40BD_8239_3A0461590922_.wvu.PrintArea" localSheetId="26" hidden="1">g2.3!$B$1:$J$32</definedName>
    <definedName name="Z_9E220BD5_A526_40BD_8239_3A0461590922_.wvu.PrintArea" localSheetId="27" hidden="1">g2.4!$B$1:$O$36</definedName>
    <definedName name="Z_A62371C4_2ABB_11D6_AA65_000102C264C1_.wvu.Cols" localSheetId="45" hidden="1">'3.9'!#REF!</definedName>
    <definedName name="Z_A62371C4_2ABB_11D6_AA65_000102C264C1_.wvu.PrintArea" localSheetId="45" hidden="1">'3.9'!$B$1:$N$9</definedName>
    <definedName name="Z_B4D0449B_92B2_41A9_9971_085CC112D0FC_.wvu.Cols" localSheetId="30" hidden="1">'2.8'!$J:$Q,'2.8'!$AL:$AS</definedName>
    <definedName name="Z_B4D0449B_92B2_41A9_9971_085CC112D0FC_.wvu.Cols" localSheetId="68" hidden="1">'5.6'!$E:$E</definedName>
    <definedName name="Z_B4D0449B_92B2_41A9_9971_085CC112D0FC_.wvu.Cols" localSheetId="22" hidden="1">g2.2!#REF!</definedName>
    <definedName name="Z_B4D0449B_92B2_41A9_9971_085CC112D0FC_.wvu.Cols" localSheetId="27" hidden="1">g2.4!$L:$M</definedName>
    <definedName name="Z_B4D0449B_92B2_41A9_9971_085CC112D0FC_.wvu.PrintArea" localSheetId="19" hidden="1">'2.1'!$A$1:$M$40</definedName>
    <definedName name="Z_B4D0449B_92B2_41A9_9971_085CC112D0FC_.wvu.PrintArea" localSheetId="30" hidden="1">'2.8'!$A$1:$BF$48</definedName>
    <definedName name="Z_B4D0449B_92B2_41A9_9971_085CC112D0FC_.wvu.PrintArea" localSheetId="40" hidden="1">'3.6'!$B$1:$W$39</definedName>
    <definedName name="Z_B4D0449B_92B2_41A9_9971_085CC112D0FC_.wvu.PrintArea" localSheetId="68" hidden="1">'5.6'!$A$1:$F$48</definedName>
    <definedName name="Z_B4D0449B_92B2_41A9_9971_085CC112D0FC_.wvu.PrintArea" localSheetId="39" hidden="1">'g.3.1 error'!$B$1:$E$34</definedName>
    <definedName name="Z_B4D0449B_92B2_41A9_9971_085CC112D0FC_.wvu.PrintArea" localSheetId="22" hidden="1">g2.2!$A$2:$J$37</definedName>
    <definedName name="Z_B4D0449B_92B2_41A9_9971_085CC112D0FC_.wvu.PrintArea" localSheetId="27" hidden="1">g2.4!$B$1:$M$36</definedName>
    <definedName name="Z_B4D0449B_92B2_41A9_9971_085CC112D0FC_.wvu.PrintArea" localSheetId="38" hidden="1">g3.1!$B$2:$P$42</definedName>
    <definedName name="Z_B4D0449B_92B2_41A9_9971_085CC112D0FC_.wvu.PrintArea" localSheetId="46" hidden="1">g3.3!$B$12:$J$38</definedName>
    <definedName name="Z_B4D0449B_92B2_41A9_9971_085CC112D0FC_.wvu.Rows" localSheetId="30" hidden="1">'2.8'!$7:$7</definedName>
    <definedName name="Z_E9B43C8C_734F_433D_AD37_344F9303B5CC_.wvu.PrintArea" localSheetId="13" hidden="1">'g 1.2'!$A$13:$I$36</definedName>
    <definedName name="Z_E9B43C8C_734F_433D_AD37_344F9303B5CC_.wvu.PrintArea" localSheetId="14" hidden="1">g1.3!$A$2:$K$34</definedName>
    <definedName name="Z_E9B43C8C_734F_433D_AD37_344F9303B5CC_.wvu.PrintArea" localSheetId="21" hidden="1">g2.1!$A$1:$I$33</definedName>
    <definedName name="Z_E9B43C8C_734F_433D_AD37_344F9303B5CC_.wvu.PrintArea" localSheetId="22" hidden="1">g2.2!$A$1:$K$37</definedName>
    <definedName name="Z_E9B43C8C_734F_433D_AD37_344F9303B5CC_.wvu.PrintArea" localSheetId="26" hidden="1">g2.3!$B$1:$J$32</definedName>
    <definedName name="Z_E9B43C8C_734F_433D_AD37_344F9303B5CC_.wvu.PrintArea" localSheetId="27" hidden="1">g2.4!$B$1:$O$36</definedName>
  </definedNames>
  <calcPr calcId="125725"/>
  <customWorkbookViews>
    <customWorkbookView name="CNA - Vista personalizada" guid="{E9B43C8C-734F-433D-AD37-344F9303B5CC}" mergeInterval="0" personalView="1" maximized="1" windowWidth="994" windowHeight="534" tabRatio="750" activeSheetId="12"/>
    <customWorkbookView name="jhernandezb - Vista personalizada" guid="{9BF398E0-33D8-4E64-94A2-9B7C822C8383}" mergeInterval="0" personalView="1" maximized="1" windowWidth="987" windowHeight="569" tabRatio="726" activeSheetId="40"/>
    <customWorkbookView name="mzires - Vista personalizada" guid="{6DCFE324-2DF9-4BB0-88BD-A4AD316C7A9E}" mergeInterval="0" personalView="1" maximized="1" windowWidth="1148" windowHeight="639" tabRatio="633" activeSheetId="72"/>
    <customWorkbookView name="oislas - Vista personalizada" guid="{48A744A8-8180-4A3B-8108-49EF41816969}" mergeInterval="0" personalView="1" maximized="1" windowWidth="796" windowHeight="369" tabRatio="723" activeSheetId="24"/>
    <customWorkbookView name="rlopez - Vista personalizada" guid="{9E220BD5-A526-40BD-8239-3A0461590922}" mergeInterval="0" personalView="1" maximized="1" windowWidth="1020" windowHeight="544" tabRatio="750" activeSheetId="54"/>
  </customWorkbookViews>
</workbook>
</file>

<file path=xl/calcChain.xml><?xml version="1.0" encoding="utf-8"?>
<calcChain xmlns="http://schemas.openxmlformats.org/spreadsheetml/2006/main">
  <c r="D6" i="126"/>
  <c r="D5"/>
  <c r="D4"/>
  <c r="D3"/>
  <c r="N19" i="121" l="1"/>
  <c r="N18"/>
  <c r="A6" i="122" l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5"/>
  <c r="F27" i="3" l="1"/>
  <c r="E27"/>
  <c r="D27"/>
  <c r="C27"/>
  <c r="C7" i="126"/>
  <c r="C5" i="123"/>
  <c r="E76" i="121"/>
  <c r="C76"/>
  <c r="F75"/>
  <c r="H75" s="1"/>
  <c r="G75" s="1"/>
  <c r="D75"/>
  <c r="C75"/>
  <c r="B75" s="1"/>
  <c r="J74"/>
  <c r="D74"/>
  <c r="C74"/>
  <c r="D73"/>
  <c r="C73"/>
  <c r="F72"/>
  <c r="D72"/>
  <c r="C72" s="1"/>
  <c r="D71"/>
  <c r="F71" s="1"/>
  <c r="D70"/>
  <c r="F70" s="1"/>
  <c r="D69"/>
  <c r="C69" s="1"/>
  <c r="G68"/>
  <c r="F68"/>
  <c r="H68" s="1"/>
  <c r="C68"/>
  <c r="B68" s="1"/>
  <c r="K67"/>
  <c r="H67"/>
  <c r="B67"/>
  <c r="K66"/>
  <c r="J66"/>
  <c r="I66"/>
  <c r="D66"/>
  <c r="C66"/>
  <c r="E65"/>
  <c r="D65"/>
  <c r="F65" s="1"/>
  <c r="H65" s="1"/>
  <c r="C65"/>
  <c r="B65" s="1"/>
  <c r="G64"/>
  <c r="D64"/>
  <c r="C64"/>
  <c r="G63"/>
  <c r="E63"/>
  <c r="D63"/>
  <c r="C63" s="1"/>
  <c r="F63" s="1"/>
  <c r="F62"/>
  <c r="H62" s="1"/>
  <c r="G61"/>
  <c r="F61"/>
  <c r="H61" s="1"/>
  <c r="C61"/>
  <c r="B61"/>
  <c r="F60"/>
  <c r="H60" s="1"/>
  <c r="D60"/>
  <c r="C60"/>
  <c r="B60" s="1"/>
  <c r="D59"/>
  <c r="F59" s="1"/>
  <c r="D58"/>
  <c r="C58"/>
  <c r="F57"/>
  <c r="H57" s="1"/>
  <c r="N56"/>
  <c r="H56"/>
  <c r="N55"/>
  <c r="D55"/>
  <c r="C55" s="1"/>
  <c r="N54"/>
  <c r="F54"/>
  <c r="D54"/>
  <c r="C54" s="1"/>
  <c r="N53"/>
  <c r="O53" s="1"/>
  <c r="E53"/>
  <c r="D53"/>
  <c r="C53" s="1"/>
  <c r="J52"/>
  <c r="D52"/>
  <c r="C52" s="1"/>
  <c r="C51"/>
  <c r="H51" s="1"/>
  <c r="F50"/>
  <c r="D50"/>
  <c r="C50" s="1"/>
  <c r="F49"/>
  <c r="H49" s="1"/>
  <c r="D49"/>
  <c r="C49"/>
  <c r="B49" s="1"/>
  <c r="D48"/>
  <c r="F48" s="1"/>
  <c r="H47"/>
  <c r="B47"/>
  <c r="D46"/>
  <c r="C46"/>
  <c r="J45"/>
  <c r="I45"/>
  <c r="H45"/>
  <c r="F45"/>
  <c r="B45"/>
  <c r="K43"/>
  <c r="J42"/>
  <c r="I42"/>
  <c r="J41"/>
  <c r="I41"/>
  <c r="G36"/>
  <c r="G37" s="1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F52" l="1"/>
  <c r="H52" s="1"/>
  <c r="F55"/>
  <c r="H55" s="1"/>
  <c r="G55" s="1"/>
  <c r="H63"/>
  <c r="B63"/>
  <c r="F69"/>
  <c r="H69" s="1"/>
  <c r="G69" s="1"/>
  <c r="H54"/>
  <c r="G54" s="1"/>
  <c r="H50"/>
  <c r="B50"/>
  <c r="H72"/>
  <c r="B72"/>
  <c r="B54"/>
  <c r="F46"/>
  <c r="H46" s="1"/>
  <c r="F53"/>
  <c r="H53" s="1"/>
  <c r="N57"/>
  <c r="N58" s="1"/>
  <c r="O54" s="1"/>
  <c r="F58"/>
  <c r="H58" s="1"/>
  <c r="G58" s="1"/>
  <c r="F64"/>
  <c r="H64" s="1"/>
  <c r="F66"/>
  <c r="H66" s="1"/>
  <c r="G66" s="1"/>
  <c r="F73"/>
  <c r="H73" s="1"/>
  <c r="G73" s="1"/>
  <c r="F74"/>
  <c r="H74" s="1"/>
  <c r="F76"/>
  <c r="H76" s="1"/>
  <c r="G76" s="1"/>
  <c r="C48"/>
  <c r="B48" s="1"/>
  <c r="B51"/>
  <c r="B57"/>
  <c r="C59"/>
  <c r="B59" s="1"/>
  <c r="B62"/>
  <c r="C70"/>
  <c r="C71"/>
  <c r="H71" s="1"/>
  <c r="G71" s="1"/>
  <c r="B74" l="1"/>
  <c r="H70"/>
  <c r="G70" s="1"/>
  <c r="B70" s="1"/>
  <c r="B64"/>
  <c r="B58"/>
  <c r="H48"/>
  <c r="B53"/>
  <c r="B71"/>
  <c r="B76"/>
  <c r="B73"/>
  <c r="B66"/>
  <c r="H59"/>
  <c r="B46"/>
  <c r="B69"/>
  <c r="B55"/>
  <c r="B52"/>
  <c r="D34" i="117" l="1"/>
  <c r="C34"/>
  <c r="J33"/>
  <c r="I33"/>
  <c r="H33"/>
  <c r="G33"/>
  <c r="J32"/>
  <c r="I32"/>
  <c r="H32"/>
  <c r="G32"/>
  <c r="J31"/>
  <c r="I31"/>
  <c r="H31"/>
  <c r="G31"/>
  <c r="J30"/>
  <c r="I30"/>
  <c r="H30"/>
  <c r="G30"/>
  <c r="J29"/>
  <c r="I29"/>
  <c r="H29"/>
  <c r="G29"/>
  <c r="J28"/>
  <c r="I28"/>
  <c r="H28"/>
  <c r="G28"/>
  <c r="J27"/>
  <c r="I27"/>
  <c r="H27"/>
  <c r="G27"/>
  <c r="J26"/>
  <c r="I26"/>
  <c r="H26"/>
  <c r="G26"/>
  <c r="J25"/>
  <c r="I25"/>
  <c r="H25"/>
  <c r="G25"/>
  <c r="J24"/>
  <c r="I24"/>
  <c r="H24"/>
  <c r="G24"/>
  <c r="J23"/>
  <c r="I23"/>
  <c r="H23"/>
  <c r="G23"/>
  <c r="J22"/>
  <c r="I22"/>
  <c r="H22"/>
  <c r="G22"/>
  <c r="J21"/>
  <c r="I21"/>
  <c r="H21"/>
  <c r="G21"/>
  <c r="J20"/>
  <c r="I20"/>
  <c r="H20"/>
  <c r="G20"/>
  <c r="J19"/>
  <c r="I19"/>
  <c r="H19"/>
  <c r="G19"/>
  <c r="J18"/>
  <c r="I18"/>
  <c r="H18"/>
  <c r="G18"/>
  <c r="J17"/>
  <c r="I17"/>
  <c r="H17"/>
  <c r="G17"/>
  <c r="J16"/>
  <c r="I16"/>
  <c r="H16"/>
  <c r="G16"/>
  <c r="J15"/>
  <c r="I15"/>
  <c r="H15"/>
  <c r="G15"/>
  <c r="J14"/>
  <c r="I14"/>
  <c r="H14"/>
  <c r="G14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6"/>
  <c r="I6"/>
  <c r="H6"/>
  <c r="G6"/>
  <c r="J5"/>
  <c r="I5"/>
  <c r="H5"/>
  <c r="G5"/>
  <c r="J4"/>
  <c r="I4"/>
  <c r="H4"/>
  <c r="G4"/>
  <c r="J3"/>
  <c r="I3"/>
  <c r="H3"/>
  <c r="G3"/>
  <c r="J2"/>
  <c r="I2"/>
  <c r="H2"/>
  <c r="H34" s="1"/>
  <c r="G2"/>
  <c r="G34" s="1"/>
  <c r="I34" l="1"/>
  <c r="E34" s="1"/>
  <c r="P49" i="58" l="1"/>
  <c r="S41"/>
  <c r="R41"/>
  <c r="Q41"/>
  <c r="P41"/>
  <c r="O41"/>
  <c r="N41"/>
  <c r="M41"/>
  <c r="L41"/>
  <c r="K41"/>
  <c r="J41"/>
  <c r="I41"/>
  <c r="H41"/>
  <c r="G41"/>
  <c r="F41"/>
  <c r="E41"/>
  <c r="D41"/>
  <c r="C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O38" i="55"/>
  <c r="N38"/>
  <c r="M38"/>
  <c r="L38"/>
  <c r="K38"/>
  <c r="J38"/>
  <c r="I38"/>
  <c r="H38"/>
  <c r="G38"/>
  <c r="F38"/>
  <c r="E38"/>
  <c r="D38"/>
  <c r="C38"/>
  <c r="O2" i="90" l="1"/>
  <c r="F35" i="3" l="1"/>
  <c r="E35"/>
  <c r="D35"/>
  <c r="C35"/>
  <c r="G27" s="1"/>
  <c r="E36" s="1"/>
  <c r="G25"/>
  <c r="G24"/>
  <c r="G21"/>
  <c r="G20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 s="1"/>
  <c r="F9"/>
  <c r="E9"/>
  <c r="D9"/>
  <c r="C9"/>
  <c r="G8"/>
  <c r="F8"/>
  <c r="D8"/>
  <c r="C8"/>
  <c r="G7"/>
  <c r="F7"/>
  <c r="D7"/>
  <c r="C7"/>
  <c r="H10" i="92"/>
  <c r="D36" i="3" l="1"/>
  <c r="F36"/>
  <c r="C36"/>
  <c r="G6" i="92"/>
  <c r="F6"/>
  <c r="E6"/>
  <c r="D6"/>
  <c r="G5"/>
  <c r="F5"/>
  <c r="E5"/>
  <c r="D5"/>
  <c r="G4"/>
  <c r="F4"/>
  <c r="E4"/>
  <c r="D4"/>
  <c r="H4" l="1"/>
  <c r="H5"/>
  <c r="H6"/>
  <c r="G3"/>
  <c r="F3"/>
  <c r="E3"/>
  <c r="D3"/>
  <c r="H3" s="1"/>
  <c r="D26" i="3" l="1"/>
  <c r="F26"/>
  <c r="E26"/>
  <c r="C26"/>
  <c r="G26" l="1"/>
</calcChain>
</file>

<file path=xl/comments1.xml><?xml version="1.0" encoding="utf-8"?>
<comments xmlns="http://schemas.openxmlformats.org/spreadsheetml/2006/main">
  <authors>
    <author>ctorress</author>
    <author>achaveza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>35% DEL IMPORTE DEL CONSUMO</t>
        </r>
      </text>
    </comment>
    <comment ref="G23" authorId="0">
      <text>
        <r>
          <rPr>
            <b/>
            <sz val="8"/>
            <color indexed="81"/>
            <rFont val="Tahoma"/>
            <family val="2"/>
          </rPr>
          <t>25% CON RESPECTO AL COSUMO DE AGUA</t>
        </r>
      </text>
    </comment>
    <comment ref="G24" authorId="0">
      <text>
        <r>
          <rPr>
            <b/>
            <sz val="8"/>
            <color indexed="81"/>
            <rFont val="Tahoma"/>
            <family val="2"/>
          </rPr>
          <t>14% CON RESPECTO AL COSUMO DE AGUA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color indexed="81"/>
            <rFont val="Tahoma"/>
            <family val="2"/>
          </rPr>
          <t>25% CON RESPECTO AL COSUMO DE AGUA</t>
        </r>
      </text>
    </comment>
    <comment ref="G26" authorId="0">
      <text>
        <r>
          <rPr>
            <b/>
            <sz val="8"/>
            <color indexed="81"/>
            <rFont val="Tahoma"/>
            <family val="2"/>
          </rPr>
          <t>40% CON RESPECTO AL COSUMO DE AGUA</t>
        </r>
      </text>
    </comment>
    <comment ref="G28" authorId="0">
      <text>
        <r>
          <rPr>
            <b/>
            <sz val="8"/>
            <color indexed="81"/>
            <rFont val="Tahoma"/>
            <family val="2"/>
          </rPr>
          <t>40% CON RESPECTO AL COSUMO DE AGUA</t>
        </r>
      </text>
    </comment>
    <comment ref="G29" authorId="0">
      <text>
        <r>
          <rPr>
            <b/>
            <sz val="8"/>
            <color indexed="81"/>
            <rFont val="Tahoma"/>
            <family val="2"/>
          </rPr>
          <t>30% de Alcantarillado y 30% de Saneamiento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>20% CON RESPECTO AL COSUMO DE AGUA</t>
        </r>
      </text>
    </comment>
    <comment ref="G36" authorId="0">
      <text>
        <r>
          <rPr>
            <b/>
            <sz val="8"/>
            <color indexed="81"/>
            <rFont val="Tahoma"/>
            <family val="2"/>
          </rPr>
          <t>20%  para el
mantenimiento y conservación de la red de alcantarillado, y
un 20% para el saneamiento de las aguas residuales.</t>
        </r>
      </text>
    </comment>
    <comment ref="C52" authorId="1">
      <text>
        <r>
          <rPr>
            <b/>
            <sz val="9"/>
            <color indexed="81"/>
            <rFont val="Tahoma"/>
            <family val="2"/>
          </rPr>
          <t>achaveza: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4" authorId="0">
      <text>
        <r>
          <rPr>
            <b/>
            <sz val="8"/>
            <color indexed="81"/>
            <rFont val="Tahoma"/>
            <family val="2"/>
          </rPr>
          <t>35% DEL IMPORTE DEL CONSUMO</t>
        </r>
      </text>
    </comment>
    <comment ref="G62" authorId="0">
      <text>
        <r>
          <rPr>
            <b/>
            <sz val="8"/>
            <color indexed="81"/>
            <rFont val="Tahoma"/>
            <family val="2"/>
          </rPr>
          <t>25% CON RESPECTO AL COSUMO DE AGUA</t>
        </r>
      </text>
    </comment>
    <comment ref="G63" authorId="0">
      <text>
        <r>
          <rPr>
            <b/>
            <sz val="8"/>
            <color indexed="81"/>
            <rFont val="Tahoma"/>
            <family val="2"/>
          </rPr>
          <t>25% CON RESPECTO AL COSUMO DE AGUA</t>
        </r>
      </text>
    </comment>
    <comment ref="G66" authorId="0">
      <text>
        <r>
          <rPr>
            <b/>
            <sz val="8"/>
            <color indexed="81"/>
            <rFont val="Tahoma"/>
            <family val="2"/>
          </rPr>
          <t>14% CON RESPECTO AL COSUMO DE AGUA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7" authorId="0">
      <text>
        <r>
          <rPr>
            <b/>
            <sz val="8"/>
            <color indexed="81"/>
            <rFont val="Tahoma"/>
            <family val="2"/>
          </rPr>
          <t>40% CON RESPECTO AL COSUMO DE AGUA</t>
        </r>
      </text>
    </comment>
    <comment ref="G68" authorId="0">
      <text>
        <r>
          <rPr>
            <b/>
            <sz val="8"/>
            <color indexed="81"/>
            <rFont val="Tahoma"/>
            <family val="2"/>
          </rPr>
          <t>30% de Alcantarillado y 30% de Saneamiento</t>
        </r>
      </text>
    </comment>
    <comment ref="G71" authorId="0">
      <text>
        <r>
          <rPr>
            <b/>
            <sz val="8"/>
            <color indexed="81"/>
            <rFont val="Tahoma"/>
            <family val="2"/>
          </rPr>
          <t>40% CON RESPECTO AL COSUMO DE AGUA</t>
        </r>
      </text>
    </comment>
    <comment ref="G73" authorId="0">
      <text>
        <r>
          <rPr>
            <b/>
            <sz val="8"/>
            <color indexed="81"/>
            <rFont val="Tahoma"/>
            <family val="2"/>
          </rPr>
          <t>20% CON RESPECTO AL COSUMO DE AGUA</t>
        </r>
      </text>
    </comment>
    <comment ref="G76" authorId="0">
      <text>
        <r>
          <rPr>
            <b/>
            <sz val="8"/>
            <color indexed="81"/>
            <rFont val="Tahoma"/>
            <family val="2"/>
          </rPr>
          <t>20%  para el
mantenimiento y conservación de la red de alcantarillado, y
un 20% para el saneamiento de las aguas residuales.</t>
        </r>
      </text>
    </comment>
  </commentList>
</comments>
</file>

<file path=xl/sharedStrings.xml><?xml version="1.0" encoding="utf-8"?>
<sst xmlns="http://schemas.openxmlformats.org/spreadsheetml/2006/main" count="2404" uniqueCount="653">
  <si>
    <t>AÑO</t>
  </si>
  <si>
    <t>FEDERAL</t>
  </si>
  <si>
    <t>ESTATAL</t>
  </si>
  <si>
    <t>MUNICIPAL</t>
  </si>
  <si>
    <t>TOTAL</t>
  </si>
  <si>
    <t>ESTADO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</si>
  <si>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</si>
  <si>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</si>
  <si>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</si>
  <si>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</si>
  <si>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</si>
  <si>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</si>
  <si>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</si>
  <si>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</si>
  <si>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</si>
  <si>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</si>
  <si>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</si>
  <si>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</si>
  <si>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</si>
  <si>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</si>
  <si>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</si>
  <si>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</si>
  <si>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</si>
  <si>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</si>
  <si>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</si>
  <si>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</si>
  <si>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Querétaro</t>
  </si>
  <si>
    <t>Quintana Roo</t>
  </si>
  <si>
    <t>San Luis Potosí</t>
  </si>
  <si>
    <t>Sinaloa</t>
  </si>
  <si>
    <t>Tabasco</t>
  </si>
  <si>
    <t>Tamaulipas</t>
  </si>
  <si>
    <t>Tlaxcala</t>
  </si>
  <si>
    <t>Veracruz</t>
  </si>
  <si>
    <t>Yucatán</t>
  </si>
  <si>
    <t>Zacatecas</t>
  </si>
  <si>
    <t>Puebla</t>
  </si>
  <si>
    <t xml:space="preserve">Sonora </t>
  </si>
  <si>
    <t xml:space="preserve">Tamaulipas </t>
  </si>
  <si>
    <t>TIPO DE USO</t>
  </si>
  <si>
    <t>DOMÉSTICO</t>
  </si>
  <si>
    <t>COMERCIAL</t>
  </si>
  <si>
    <t>INDUSTRIAL</t>
  </si>
  <si>
    <t>TARIFA DE SERVICIO DOMÉSTICO</t>
  </si>
  <si>
    <t>MÍNIMO</t>
  </si>
  <si>
    <t>NÚM. DE RANGOS</t>
  </si>
  <si>
    <t>RANGO DE CONSUMO</t>
  </si>
  <si>
    <t>TARIFA</t>
  </si>
  <si>
    <t>CONCEPTO</t>
  </si>
  <si>
    <t>Facturación total</t>
  </si>
  <si>
    <t>Recaudación total</t>
  </si>
  <si>
    <t>%</t>
  </si>
  <si>
    <t>TOTAL NACIONAL</t>
  </si>
  <si>
    <t>T O T A L</t>
  </si>
  <si>
    <t>TOTALES</t>
  </si>
  <si>
    <t>Plata Coloidal (Frascos)</t>
  </si>
  <si>
    <t>Municipios</t>
  </si>
  <si>
    <t>Localidades</t>
  </si>
  <si>
    <t>ENFERMEDAD</t>
  </si>
  <si>
    <t>Shigelosis</t>
  </si>
  <si>
    <t>Fiebre Tifoidea</t>
  </si>
  <si>
    <t>No. DE PLANTAS</t>
  </si>
  <si>
    <t>DIFERENCIA</t>
  </si>
  <si>
    <t>Enfermedades Infecciosas Intestinales</t>
  </si>
  <si>
    <t>Paratifoidea y otras Salmonelosis</t>
  </si>
  <si>
    <t>Infección intestinal, debida a Virus y otros organismos y las mal definidas</t>
  </si>
  <si>
    <t>Intoxicación alimentaria Bacteriana</t>
  </si>
  <si>
    <t>PRIMARIO</t>
  </si>
  <si>
    <t>CAPACIDAD</t>
  </si>
  <si>
    <t>TIPO DE TRATAMIENTO Y GASTO TRATADO</t>
  </si>
  <si>
    <t xml:space="preserve">CUMPLE CON CPD's  (1) </t>
  </si>
  <si>
    <t>EN
OPERA-
CIÓN</t>
  </si>
  <si>
    <t>SIN OPERAR</t>
  </si>
  <si>
    <t>INSTAL. (l/s)</t>
  </si>
  <si>
    <t>EN OPER. (l/s)</t>
  </si>
  <si>
    <t>SECUNDARIO</t>
  </si>
  <si>
    <t>TERCIARIO</t>
  </si>
  <si>
    <t>NO ESPECIF.</t>
  </si>
  <si>
    <t>SI</t>
  </si>
  <si>
    <t>NO</t>
  </si>
  <si>
    <t>No.</t>
  </si>
  <si>
    <t>Mexicali</t>
  </si>
  <si>
    <t>Tepic</t>
  </si>
  <si>
    <t>Culiacan</t>
  </si>
  <si>
    <t>Tampico Madero</t>
  </si>
  <si>
    <t>Xalapa</t>
  </si>
  <si>
    <t>Mérida</t>
  </si>
  <si>
    <t>Tijuana</t>
  </si>
  <si>
    <t>Nuevo Laredo</t>
  </si>
  <si>
    <t>MÁXIMO</t>
  </si>
  <si>
    <t>&gt; 101</t>
  </si>
  <si>
    <t>&gt; 251</t>
  </si>
  <si>
    <t>CIUDAD</t>
  </si>
  <si>
    <t>OTROS 1/</t>
  </si>
  <si>
    <r>
      <t xml:space="preserve">Fuente: </t>
    </r>
    <r>
      <rPr>
        <sz val="7"/>
        <rFont val="Century Gothic"/>
        <family val="2"/>
      </rPr>
      <t xml:space="preserve"> CNA/SGT/Gerencia de Saneamiento y Calidad del Agua.</t>
    </r>
  </si>
  <si>
    <r>
      <t xml:space="preserve">   (1)</t>
    </r>
    <r>
      <rPr>
        <sz val="7"/>
        <rFont val="Century Gothic"/>
        <family val="2"/>
      </rPr>
      <t>   CPD's = Condiciones particulares de descarga.</t>
    </r>
  </si>
  <si>
    <t>Gastos operativos</t>
  </si>
  <si>
    <t>R.A.F.A.*</t>
  </si>
  <si>
    <t>*</t>
  </si>
  <si>
    <t>DEVOLUCIÓN DE DERECHOS</t>
  </si>
  <si>
    <t>AGUA LIMPIA</t>
  </si>
  <si>
    <t>Nacional</t>
  </si>
  <si>
    <t xml:space="preserve">          </t>
  </si>
  <si>
    <t>Con servicio</t>
  </si>
  <si>
    <t>Sin servicio</t>
  </si>
  <si>
    <t>SEDESOL</t>
  </si>
  <si>
    <t>&gt; 61</t>
  </si>
  <si>
    <t>&gt;101</t>
  </si>
  <si>
    <t>&gt;2001</t>
  </si>
  <si>
    <r>
      <t xml:space="preserve">* </t>
    </r>
    <r>
      <rPr>
        <sz val="7"/>
        <rFont val="Century Gothic"/>
        <family val="2"/>
      </rPr>
      <t xml:space="preserve"> Los montos están integrados en el rubro de otros.</t>
    </r>
  </si>
  <si>
    <t>Morelia</t>
  </si>
  <si>
    <t>MILLONES DE M3</t>
  </si>
  <si>
    <t>(Millones de pesos)</t>
  </si>
  <si>
    <t>PROGRAMA</t>
  </si>
  <si>
    <r>
      <t xml:space="preserve">2002 </t>
    </r>
    <r>
      <rPr>
        <vertAlign val="superscript"/>
        <sz val="8"/>
        <color indexed="8"/>
        <rFont val="Century Gothic"/>
        <family val="2"/>
      </rPr>
      <t>2/</t>
    </r>
  </si>
  <si>
    <r>
      <t xml:space="preserve">2003 </t>
    </r>
    <r>
      <rPr>
        <vertAlign val="superscript"/>
        <sz val="8"/>
        <color indexed="8"/>
        <rFont val="Century Gothic"/>
        <family val="2"/>
      </rPr>
      <t>2/</t>
    </r>
  </si>
  <si>
    <r>
      <t xml:space="preserve">1/ </t>
    </r>
    <r>
      <rPr>
        <sz val="7"/>
        <rFont val="Century Gothic"/>
        <family val="2"/>
      </rPr>
      <t>Inversiones de las comisiones estatales, desarrollos de vivienda, créditos, aportaciones de la EPA e iniciativa privada.</t>
    </r>
  </si>
  <si>
    <t>MDP</t>
  </si>
  <si>
    <t>1er. trimestre</t>
  </si>
  <si>
    <t>2do. trimestre</t>
  </si>
  <si>
    <t>3er. trimestre</t>
  </si>
  <si>
    <t>4to. trimestre</t>
  </si>
  <si>
    <t>Nota: Los porcentajes y sumas pueden NO coincidir por el redondeo de las cifras.</t>
  </si>
  <si>
    <t>Q (l/s)</t>
  </si>
  <si>
    <t>Caudal
(l/s)</t>
  </si>
  <si>
    <t>Chetumal</t>
  </si>
  <si>
    <t>Guadalajara</t>
  </si>
  <si>
    <t>La Paz</t>
  </si>
  <si>
    <t>0 a 50</t>
  </si>
  <si>
    <t>0 a 20</t>
  </si>
  <si>
    <t>0 a 10</t>
  </si>
  <si>
    <t>0 a 15</t>
  </si>
  <si>
    <t>0 a 5</t>
  </si>
  <si>
    <r>
      <t xml:space="preserve">2004 </t>
    </r>
    <r>
      <rPr>
        <vertAlign val="superscript"/>
        <sz val="8"/>
        <color indexed="8"/>
        <rFont val="Century Gothic"/>
        <family val="2"/>
      </rPr>
      <t>2/</t>
    </r>
  </si>
  <si>
    <t>2005 *</t>
  </si>
  <si>
    <t xml:space="preserve">Torreón </t>
  </si>
  <si>
    <t>Tuxtla Gutierrez</t>
  </si>
  <si>
    <t>Juárez</t>
  </si>
  <si>
    <t>Gomez Palacio</t>
  </si>
  <si>
    <t>León</t>
  </si>
  <si>
    <t>Acapulco</t>
  </si>
  <si>
    <t>Pachuca</t>
  </si>
  <si>
    <t>Toluca</t>
  </si>
  <si>
    <t>Cuernavaca</t>
  </si>
  <si>
    <t>Queretaro</t>
  </si>
  <si>
    <t>Cancún</t>
  </si>
  <si>
    <t>Mazatlán</t>
  </si>
  <si>
    <t xml:space="preserve">Hermosillo </t>
  </si>
  <si>
    <t>Ciudad Obregón</t>
  </si>
  <si>
    <t>Villahermosa</t>
  </si>
  <si>
    <t>&gt; 60</t>
  </si>
  <si>
    <t>0 a17</t>
  </si>
  <si>
    <t>&gt; 501</t>
  </si>
  <si>
    <t>&gt; 51</t>
  </si>
  <si>
    <t>&gt; 100</t>
  </si>
  <si>
    <t>&gt; 201</t>
  </si>
  <si>
    <t>&gt; 126</t>
  </si>
  <si>
    <t>&gt; 500</t>
  </si>
  <si>
    <t>&gt; 1500</t>
  </si>
  <si>
    <t>&gt; 275</t>
  </si>
  <si>
    <t>&gt; 1000</t>
  </si>
  <si>
    <t>0 a 8</t>
  </si>
  <si>
    <t>&gt; 250</t>
  </si>
  <si>
    <t>&gt; 1800</t>
  </si>
  <si>
    <t>0 a 12</t>
  </si>
  <si>
    <t>&gt; 91</t>
  </si>
  <si>
    <t>0 a 60</t>
  </si>
  <si>
    <t>&gt; 1001</t>
  </si>
  <si>
    <t>&gt; 80</t>
  </si>
  <si>
    <t xml:space="preserve">Monterrey     </t>
  </si>
  <si>
    <t>0 a 1</t>
  </si>
  <si>
    <t>&gt; 480</t>
  </si>
  <si>
    <t>0 a 30</t>
  </si>
  <si>
    <t>&gt; 30</t>
  </si>
  <si>
    <t>&gt; 300</t>
  </si>
  <si>
    <t>0 a 13</t>
  </si>
  <si>
    <t>&gt; 150</t>
  </si>
  <si>
    <t>&gt; 76</t>
  </si>
  <si>
    <t>0 a 40</t>
  </si>
  <si>
    <t>&gt; 81</t>
  </si>
  <si>
    <t>&gt; 401</t>
  </si>
  <si>
    <t>&gt;601</t>
  </si>
  <si>
    <t xml:space="preserve">Manzanillo      </t>
  </si>
  <si>
    <t>Capacidad instalada
(l/s)</t>
  </si>
  <si>
    <t>Caudal potabilizado
(l/s)</t>
  </si>
  <si>
    <t>Cuadro 3.13. Plantas de tratamiento de aguas residuales industriales por estado y por proceso.</t>
  </si>
  <si>
    <t>MILLONES DE $</t>
  </si>
  <si>
    <t>2002</t>
  </si>
  <si>
    <t xml:space="preserve">ND  </t>
  </si>
  <si>
    <t>2003</t>
  </si>
  <si>
    <t>PROSSAPYS</t>
  </si>
  <si>
    <t>PROMAGUA</t>
  </si>
  <si>
    <t>No. de Plantas</t>
  </si>
  <si>
    <t>OTROS a/</t>
  </si>
  <si>
    <t>ENTIDAD FEDERATIVA</t>
  </si>
  <si>
    <t>Caudal tratado
(l/s)</t>
  </si>
  <si>
    <t>0 a 23</t>
  </si>
  <si>
    <t>0 a 17</t>
  </si>
  <si>
    <t>0 a 25</t>
  </si>
  <si>
    <r>
      <t xml:space="preserve">2006 </t>
    </r>
    <r>
      <rPr>
        <b/>
        <vertAlign val="superscript"/>
        <sz val="8"/>
        <rFont val="Century Gothic"/>
        <family val="2"/>
      </rPr>
      <t>3/</t>
    </r>
  </si>
  <si>
    <r>
      <t xml:space="preserve">2005 </t>
    </r>
    <r>
      <rPr>
        <vertAlign val="superscript"/>
        <sz val="8"/>
        <color indexed="8"/>
        <rFont val="Century Gothic"/>
        <family val="2"/>
      </rPr>
      <t>3/</t>
    </r>
  </si>
  <si>
    <t>(%)</t>
  </si>
  <si>
    <t>Porcentaje</t>
  </si>
  <si>
    <t xml:space="preserve">    CUADRO1.1. Evolución anual de las inversiones por origen de los recursos</t>
  </si>
  <si>
    <r>
      <t>3/</t>
    </r>
    <r>
      <rPr>
        <sz val="7"/>
        <rFont val="Century Gothic"/>
        <family val="2"/>
      </rPr>
      <t xml:space="preserve">  Inversiones totales en el subsector, que incluyen los programas a cargo de la CONAGUA más las realizadas por SEDESOL, CONADEPI, BANOBRAS, organismos estatales, iniciativa privada, aportaciones de la EPA y créditos.</t>
    </r>
  </si>
  <si>
    <r>
      <t xml:space="preserve">2006 </t>
    </r>
    <r>
      <rPr>
        <b/>
        <vertAlign val="superscript"/>
        <sz val="8"/>
        <color indexed="8"/>
        <rFont val="Century Gothic"/>
        <family val="2"/>
      </rPr>
      <t>2/</t>
    </r>
  </si>
  <si>
    <t>GRÁFICA. 1.1. Evolución anual de las Inversiones por origen de los recursos.</t>
  </si>
  <si>
    <r>
      <t xml:space="preserve">FUENTE: </t>
    </r>
    <r>
      <rPr>
        <sz val="7"/>
        <rFont val="Century Gothic"/>
        <family val="2"/>
      </rPr>
      <t>CONAGUA/SGAPDYS/Gerencia de Estudios y Proyectos de Agua Potabley Redes de Alcantarillado.</t>
    </r>
  </si>
  <si>
    <t>2006 *</t>
  </si>
  <si>
    <t xml:space="preserve">* Información a diciembre determinada por la CONAGUA </t>
  </si>
  <si>
    <t>* Información a diciembre determinada por la CONAGUA.</t>
  </si>
  <si>
    <t xml:space="preserve">* Información a Diciembre determinada por la CONAGUA. </t>
  </si>
  <si>
    <t xml:space="preserve">* Información a diciembre determinada por la CONAGUA. </t>
  </si>
  <si>
    <t xml:space="preserve">* Información a diciembre determinada por la CNA. </t>
  </si>
  <si>
    <t>CDI</t>
  </si>
  <si>
    <t>CONAVI</t>
  </si>
  <si>
    <r>
      <t>NOTA:</t>
    </r>
    <r>
      <rPr>
        <sz val="9"/>
        <color indexed="16"/>
        <rFont val="Arial"/>
        <family val="2"/>
      </rPr>
      <t xml:space="preserve">  Inversiones totales en el subsector, que incluyen los programas a cargo de la CONAGUA más las realizadas por SEDESOL, CDI,
              BANOBRAS, organismos estatales, iniciativa privada, aportaciones de la EPA y créditos.</t>
    </r>
  </si>
  <si>
    <t>NOTA:  Inversiones totales en el subsector, que incluyen los programas a cargo de la CONAGUA más las realizadas por SEDESOL, CDI,</t>
  </si>
  <si>
    <t xml:space="preserve">              BANOBRAS, organismos estatales, iniciativa privada, aportaciones de la EPA y créditos.</t>
  </si>
  <si>
    <t>Población beneficiada (habitantes)</t>
  </si>
  <si>
    <t>2002 *</t>
  </si>
  <si>
    <t>2003 *</t>
  </si>
  <si>
    <t>2004 *</t>
  </si>
  <si>
    <t>Coahuila de Zaragoza</t>
  </si>
  <si>
    <t>Michoacán de Ocampo</t>
  </si>
  <si>
    <t>Querétaro de Arteaga</t>
  </si>
  <si>
    <t>Veracruz de san Ignacio de la Llave</t>
  </si>
  <si>
    <t>2007 *</t>
  </si>
  <si>
    <t xml:space="preserve"> </t>
  </si>
  <si>
    <t>Cifras en Millones de Pesos</t>
  </si>
  <si>
    <t>Entidad Federativa</t>
  </si>
  <si>
    <r>
      <t xml:space="preserve">FUENTE: </t>
    </r>
    <r>
      <rPr>
        <sz val="7"/>
        <color indexed="58"/>
        <rFont val="Presidencia Fina"/>
        <family val="3"/>
      </rPr>
      <t xml:space="preserve"> CONAGUA/SGT/Gerencia de Saneamiento y Calidad del Agua.</t>
    </r>
  </si>
  <si>
    <r>
      <t xml:space="preserve">FUENTE: </t>
    </r>
    <r>
      <rPr>
        <sz val="7"/>
        <color indexed="16"/>
        <rFont val="Presidencia Fina"/>
        <family val="3"/>
      </rPr>
      <t>CONAGUA/SGAPDS/Gerencia de Fortalecimiento Institucional. Elaborado con base en datos de periodicos o gacetas oficiales de los gobiernos estatales.</t>
    </r>
  </si>
  <si>
    <r>
      <t xml:space="preserve">AGUA POTABLE Y SANEAMIENTO EN ZONAS URBANAS </t>
    </r>
    <r>
      <rPr>
        <b/>
        <vertAlign val="superscript"/>
        <sz val="10"/>
        <color indexed="16"/>
        <rFont val="Presidencia Fina"/>
        <family val="3"/>
      </rPr>
      <t/>
    </r>
  </si>
  <si>
    <t>Ensenada</t>
  </si>
  <si>
    <t>Delicias</t>
  </si>
  <si>
    <t>Naucalpan</t>
  </si>
  <si>
    <t>Tula de Allende</t>
  </si>
  <si>
    <t>Variación de la tarifa</t>
  </si>
  <si>
    <t>Inversiones</t>
  </si>
  <si>
    <t>Ciudad</t>
  </si>
  <si>
    <t>Recursos de Contraparte</t>
  </si>
  <si>
    <t>Celaya, Guanajuato</t>
  </si>
  <si>
    <t>Gómez Palacio, Durango</t>
  </si>
  <si>
    <t>Tuxtla Gutiérrez, Chiapas</t>
  </si>
  <si>
    <t>Magdalena, Jalisco</t>
  </si>
  <si>
    <t>Torreón, Coahuila</t>
  </si>
  <si>
    <t>Tlalnepantla, Estado de México</t>
  </si>
  <si>
    <t>Puerto Vallarta, Jalisco</t>
  </si>
  <si>
    <t>Monclova, Coahuila</t>
  </si>
  <si>
    <t>Toluca, Estado de México</t>
  </si>
  <si>
    <t>Durango, Durango</t>
  </si>
  <si>
    <t>Naucalpan, Estado de México</t>
  </si>
  <si>
    <t>Lerdo, Durango</t>
  </si>
  <si>
    <t>Recursos Federales</t>
  </si>
  <si>
    <t>Totales</t>
  </si>
  <si>
    <t>Año</t>
  </si>
  <si>
    <t>Cobertura de Desinfección</t>
  </si>
  <si>
    <t>Eficiencia de Desinfección</t>
  </si>
  <si>
    <t>2008 *</t>
  </si>
  <si>
    <t>2008*</t>
  </si>
  <si>
    <t>Calhidra (Kilos)</t>
  </si>
  <si>
    <t>Veracruz de Ignacio de la Llave</t>
  </si>
  <si>
    <r>
      <t>NOTA:</t>
    </r>
    <r>
      <rPr>
        <sz val="9"/>
        <color indexed="16"/>
        <rFont val="Arial"/>
        <family val="2"/>
      </rPr>
      <t xml:space="preserve">  Inversiones totales en el subsector, que incluyen los programas a cargo de la CONAGUA más las realizadas por SEDESOL, CDI,
               BANOBRAS, organismos estatales, iniciativa privada, aportaciones de la EPA y créditos.</t>
    </r>
  </si>
  <si>
    <r>
      <t xml:space="preserve">FUENTE: </t>
    </r>
    <r>
      <rPr>
        <sz val="9"/>
        <color indexed="16"/>
        <rFont val="Arial"/>
        <family val="2"/>
      </rPr>
      <t>CONAGUA/SGAPDS/Gerencia de Estudios y Proyectos de Agua Potable y Redes de Alcantarillado.</t>
    </r>
  </si>
  <si>
    <t>2009 *</t>
  </si>
  <si>
    <t>2009*</t>
  </si>
  <si>
    <t>CUADRO 3.2. Plantas potabilizadoras por Entidad Federativa,  2009.</t>
  </si>
  <si>
    <t>CUADRO 3.4. Agua suministrada y desinfectada para consumo humano en México, Serie anual de 1991 a 2009.</t>
  </si>
  <si>
    <t>CUADRO 3.13. Plantas de tratamiento de aguas residuales industriales por Entidad Federativa y por proceso, 2009.</t>
  </si>
  <si>
    <t>CUADRO 4.2.  Rangos mínimos y máximos de las tarifas de agua, en las principales ciudades, 2009.</t>
  </si>
  <si>
    <t>CUADRO 5.1 Inversiones APAZU por Entidad Federativa, 2009.</t>
  </si>
  <si>
    <t>CUADRO 5.2 Inversiones PATME, 2009.</t>
  </si>
  <si>
    <t xml:space="preserve">NA           </t>
  </si>
  <si>
    <r>
      <t xml:space="preserve">N A </t>
    </r>
    <r>
      <rPr>
        <sz val="7"/>
        <color rgb="FF663300"/>
        <rFont val="Presidencia Fina"/>
        <family val="3"/>
      </rPr>
      <t xml:space="preserve"> No Aplicable (los montos están integrados en el rubro de otros).</t>
    </r>
  </si>
  <si>
    <t>GRÁFICA. 1.1. Evolución anual de las Inversiones por origen de los recursos serie anual 2002-2009.</t>
  </si>
  <si>
    <t>(Miles de millones de pesos)</t>
  </si>
  <si>
    <t>FUENTE: CONAGUA/SGAPDS/Gerencia de Estudios y Proyectos de Agua Potable y Redes de Alcantarillado.</t>
  </si>
  <si>
    <t>NOTA:  Inversiones totales en el subsector, que incluyen los programas a cargo de la CONAGUA más las realizadas por SEDESOL, CDI, BANOBRAS, organismos estatales, iniciativa privada, aportaciones de la EPA y créditos.</t>
  </si>
  <si>
    <t>Origen</t>
  </si>
  <si>
    <t>Federal</t>
  </si>
  <si>
    <t>Estatal</t>
  </si>
  <si>
    <t>Municipal</t>
  </si>
  <si>
    <t xml:space="preserve">                          N/S    </t>
  </si>
  <si>
    <t>Concepto</t>
  </si>
  <si>
    <t>Inversiones conagua</t>
  </si>
  <si>
    <t>Otras dependencias</t>
  </si>
  <si>
    <t>Zonas urbanas</t>
  </si>
  <si>
    <t>Zonas rurales</t>
  </si>
  <si>
    <t>Agua potable</t>
  </si>
  <si>
    <t>Alcantarillado</t>
  </si>
  <si>
    <t>Aplicación</t>
  </si>
  <si>
    <t>Saneamiento</t>
  </si>
  <si>
    <t>Mejoramiento de eficiencia</t>
  </si>
  <si>
    <t>FUENTE: CONAGUA/SGAPDS/,SEDESOL, BANOBRAS, CONAVI, CDI y prestadores de servicios.</t>
  </si>
  <si>
    <r>
      <t>Agua Potable y Saneamiento en Zonas Urbanas</t>
    </r>
    <r>
      <rPr>
        <b/>
        <vertAlign val="superscript"/>
        <sz val="10"/>
        <color indexed="16"/>
        <rFont val="Presidencia Fina"/>
        <family val="3"/>
      </rPr>
      <t/>
    </r>
  </si>
  <si>
    <t>Devolución de derechos</t>
  </si>
  <si>
    <t>Agua limpia</t>
  </si>
  <si>
    <t>GRÁFICA 2.1 Cobertura de agua potable 1990 - 2009.</t>
  </si>
  <si>
    <t>FUENTE: INEGI, Censos de Población y Vivienda 1990 y 2000; Conteos de Población y Vivienda 1995 y 2005.</t>
  </si>
  <si>
    <t>Otros</t>
  </si>
  <si>
    <t>Población total en viviendas particulares</t>
  </si>
  <si>
    <t>Habitantes (millones)</t>
  </si>
  <si>
    <t>Beneficiados</t>
  </si>
  <si>
    <t>Porcentaje de cobertura</t>
  </si>
  <si>
    <t>En operación</t>
  </si>
  <si>
    <t>FUENTE:  CONAGUA/SGAPDS/Gerencia de Potabilización y Tratamiento.</t>
  </si>
  <si>
    <r>
      <t xml:space="preserve">ZMCM </t>
    </r>
    <r>
      <rPr>
        <b/>
        <sz val="10"/>
        <color rgb="FF333300"/>
        <rFont val="Presidencia Fina"/>
        <family val="3"/>
      </rPr>
      <t>a/</t>
    </r>
    <r>
      <rPr>
        <sz val="10"/>
        <color rgb="FF333300"/>
        <rFont val="Presidencia Fina"/>
        <family val="3"/>
      </rPr>
      <t xml:space="preserve"> </t>
    </r>
  </si>
  <si>
    <r>
      <t xml:space="preserve">ZMCM </t>
    </r>
    <r>
      <rPr>
        <b/>
        <sz val="10"/>
        <color rgb="FF333300"/>
        <rFont val="Presidencia Fina"/>
        <family val="3"/>
      </rPr>
      <t>b/</t>
    </r>
    <r>
      <rPr>
        <sz val="10"/>
        <color rgb="FF333300"/>
        <rFont val="Presidencia Fina"/>
        <family val="3"/>
      </rPr>
      <t xml:space="preserve"> </t>
    </r>
  </si>
  <si>
    <r>
      <t>a/</t>
    </r>
    <r>
      <rPr>
        <sz val="7"/>
        <color rgb="FF333300"/>
        <rFont val="Presidencia Fina"/>
        <family val="3"/>
      </rPr>
      <t xml:space="preserve"> Zona Metropolitana de la Ciudad de México, considera el D.F. y 18 municipios conurbados del Estado de México.</t>
    </r>
  </si>
  <si>
    <r>
      <t xml:space="preserve">NOTA: </t>
    </r>
    <r>
      <rPr>
        <sz val="7"/>
        <color rgb="FF663300"/>
        <rFont val="Presidencia Fina"/>
        <family val="3"/>
      </rPr>
      <t>Hasta 2001 se presentan inversiones del gobierno federal y sus contrapartes ejecutadas a través de los programas a cargo de la CONAGUA. A partir de 2002 incluye además las inversiones realizadas por SEDESOL, CDI, BANOBRAS, organismos estatales e iniciativa privada.</t>
    </r>
  </si>
  <si>
    <r>
      <t xml:space="preserve">N/S  = </t>
    </r>
    <r>
      <rPr>
        <sz val="7"/>
        <color rgb="FF663300"/>
        <rFont val="Presidencia Fina"/>
        <family val="3"/>
      </rPr>
      <t>No Significativo (Cero)</t>
    </r>
  </si>
  <si>
    <t>FUENTE: CONAGUA/SGAPDS/Gerencia de Estudios y Proyectos de Agua Potable y Redes Acantarillado.</t>
  </si>
  <si>
    <t>Ablandamiento</t>
  </si>
  <si>
    <t>Adsorción</t>
  </si>
  <si>
    <t>Clarificación convencional</t>
  </si>
  <si>
    <t>Clarificación de patente</t>
  </si>
  <si>
    <t>Electrólisis reversible</t>
  </si>
  <si>
    <t>Filtración directa</t>
  </si>
  <si>
    <t>Filtros lentos</t>
  </si>
  <si>
    <t>Osmosis Inversa</t>
  </si>
  <si>
    <t>Remoción de fierro y manganeso</t>
  </si>
  <si>
    <t>Total</t>
  </si>
  <si>
    <t>Cobertura 
%</t>
  </si>
  <si>
    <r>
      <t xml:space="preserve">FUENTE:  </t>
    </r>
    <r>
      <rPr>
        <b/>
        <sz val="7"/>
        <color indexed="18"/>
        <rFont val="Presidencia Fina"/>
        <family val="3"/>
      </rPr>
      <t>CONAGUA/SGAPDS/Gerencia de Potabilización y Tratamiento.</t>
    </r>
  </si>
  <si>
    <t>CUADRO 3.5. Agua suministrada y desinfectada para consumo humano por entidad federativa, 2009.</t>
  </si>
  <si>
    <t>Suministrado</t>
  </si>
  <si>
    <t>Desinfectado</t>
  </si>
  <si>
    <t>Actividad</t>
  </si>
  <si>
    <t>Operativos</t>
  </si>
  <si>
    <t>Preventivos</t>
  </si>
  <si>
    <t>Emergentes</t>
  </si>
  <si>
    <t>Número de casos por año</t>
  </si>
  <si>
    <t>FUENTE: Secretaria de Salud. "Boletín Epidemiológico", editado por el Sistema Único de Información para la Vigilancia Epidemiológica de la Secretaría de Salud.</t>
  </si>
  <si>
    <t>Plantas en operación</t>
  </si>
  <si>
    <t xml:space="preserve">Discos biológicos
</t>
  </si>
  <si>
    <t>Dual</t>
  </si>
  <si>
    <t>Filtros
biológicos</t>
  </si>
  <si>
    <t>Lagunas de estabilización</t>
  </si>
  <si>
    <t>Lagunas aireadas</t>
  </si>
  <si>
    <t>Lodos activados</t>
  </si>
  <si>
    <t>Primario</t>
  </si>
  <si>
    <t>Primario avanzado</t>
  </si>
  <si>
    <t>Reactor enzimático</t>
  </si>
  <si>
    <t xml:space="preserve">
Tanque IMHOFF</t>
  </si>
  <si>
    <t>Tanque séptico</t>
  </si>
  <si>
    <t>Wetland</t>
  </si>
  <si>
    <t>Zanjas de oxidación</t>
  </si>
  <si>
    <t>FUENTE: CONAGUA/SGT/Gerencia de Saneamiento y Calidad del Agua.</t>
  </si>
  <si>
    <t>Capacidad</t>
  </si>
  <si>
    <t>Tipo de tratamiento y caudal tratado</t>
  </si>
  <si>
    <t>Sin operar</t>
  </si>
  <si>
    <t>Instalada (l/s)</t>
  </si>
  <si>
    <t>En operación (l/s)</t>
  </si>
  <si>
    <t>Secundario</t>
  </si>
  <si>
    <t>Terciario</t>
  </si>
  <si>
    <t>No especificado</t>
  </si>
  <si>
    <t>CUADRO 4.1. Variacion porcentual de las tarifas de agua por comsumo doméstico de 2006 a 2009, en las principales ciudades</t>
  </si>
  <si>
    <r>
      <t>$/m</t>
    </r>
    <r>
      <rPr>
        <b/>
        <vertAlign val="superscript"/>
        <sz val="12"/>
        <color indexed="16"/>
        <rFont val="Presidencia Fina"/>
        <family val="3"/>
      </rPr>
      <t>3</t>
    </r>
    <r>
      <rPr>
        <b/>
        <sz val="12"/>
        <color indexed="16"/>
        <rFont val="Presidencia Fina"/>
        <family val="3"/>
      </rPr>
      <t xml:space="preserve"> en consumo de 30 m</t>
    </r>
    <r>
      <rPr>
        <b/>
        <vertAlign val="superscript"/>
        <sz val="12"/>
        <color indexed="16"/>
        <rFont val="Presidencia Fina"/>
        <family val="3"/>
      </rPr>
      <t>3</t>
    </r>
    <r>
      <rPr>
        <b/>
        <sz val="12"/>
        <color indexed="16"/>
        <rFont val="Presidencia Fina"/>
        <family val="3"/>
      </rPr>
      <t>/mes</t>
    </r>
  </si>
  <si>
    <t xml:space="preserve">Ciudad </t>
  </si>
  <si>
    <t>Facturación</t>
  </si>
  <si>
    <t>Recaudación</t>
  </si>
  <si>
    <t>Municipal /GIC</t>
  </si>
  <si>
    <t>Crédito</t>
  </si>
  <si>
    <r>
      <t xml:space="preserve">FUENTE: </t>
    </r>
    <r>
      <rPr>
        <b/>
        <sz val="7"/>
        <color indexed="16"/>
        <rFont val="Presidencia Fina"/>
        <family val="3"/>
      </rPr>
      <t>CONAGUA/SGAPDS/Gerencia de Programas Federales de Agua Potable y Alcantarillado.</t>
    </r>
  </si>
  <si>
    <r>
      <rPr>
        <b/>
        <sz val="10"/>
        <color indexed="16"/>
        <rFont val="Presidencia Fina"/>
        <family val="3"/>
      </rPr>
      <t>Fuente: CONAGUA/SGAPDS/Gerencia de Fortalecimiento de Organismos Operadores.</t>
    </r>
  </si>
  <si>
    <t>Período</t>
  </si>
  <si>
    <t>Devuelto</t>
  </si>
  <si>
    <t>FUENTE: CONAGUA/SGAPDS/Gerencia de Fortalecimiento Institucional.</t>
  </si>
  <si>
    <t xml:space="preserve">Año </t>
  </si>
  <si>
    <t>Inversión total aplicada</t>
  </si>
  <si>
    <t xml:space="preserve">Monto pagado
</t>
  </si>
  <si>
    <t>Monto devuelto</t>
  </si>
  <si>
    <t>Contraparte</t>
  </si>
  <si>
    <t>Total aplicado</t>
  </si>
  <si>
    <t>FUENTE: CONAGUA/SGAPDS/Gerencia de Programas Federales de Agua Potable y Alcantarillado.</t>
  </si>
  <si>
    <t>AVANCES</t>
  </si>
  <si>
    <t>FUENTE: PNI y CONAGUA</t>
  </si>
  <si>
    <t>Metas</t>
  </si>
  <si>
    <t xml:space="preserve">Avances </t>
  </si>
  <si>
    <t>Avances</t>
  </si>
  <si>
    <t>CUMPLIMIENTO METAS DEL MILENIO</t>
  </si>
  <si>
    <t>% por reducir</t>
  </si>
  <si>
    <t>meta 2015</t>
  </si>
  <si>
    <t>diferencia a la fecha</t>
  </si>
  <si>
    <t>agua potable</t>
  </si>
  <si>
    <t>alcantarillado</t>
  </si>
  <si>
    <t>Agua Producida</t>
  </si>
  <si>
    <t>Agua Desinfectada</t>
  </si>
  <si>
    <t>TOTAL  NACIONAL</t>
  </si>
  <si>
    <t>CUADRO 3.7. Operativos realizados para la prevención y control del cólera, 2009.</t>
  </si>
  <si>
    <t>METAS PNH</t>
  </si>
  <si>
    <t xml:space="preserve">AÑO </t>
  </si>
  <si>
    <t>Graf. 3.3 Evolución de la cobertura de tratamiento de aguas residuales respecto al PNH 2007-2012.</t>
  </si>
  <si>
    <t>CUADRO 3.14. Plantas de tratamiento de aguas residuales industriales por Entidad Federativa y por proceso, 2009.</t>
  </si>
  <si>
    <t>CUADRO 4.3. Facturación y recaudación por Entidad Federativa.</t>
  </si>
  <si>
    <t>(Pesos)</t>
  </si>
  <si>
    <t>CUADRO 5.4. Devolución histórica PRODDER, Serie anual de  2002 a 2009.</t>
  </si>
  <si>
    <t>CUADRO 5.5. Asignación del PRODDER por entidad federativa, 2009.</t>
  </si>
  <si>
    <t>Cuadro 5.6 Proyectos Autorizados por el Comité Técnico de FONADIN, situación al 2008.</t>
  </si>
  <si>
    <t>MUNICIPIO</t>
  </si>
  <si>
    <t>DESCRIPCIÓN</t>
  </si>
  <si>
    <t>% APOYO</t>
  </si>
  <si>
    <t>Abastecimiento de agua en bloque</t>
  </si>
  <si>
    <t>PTAR</t>
  </si>
  <si>
    <t>Subtotal</t>
  </si>
  <si>
    <t>PTAR Norte y Poniente</t>
  </si>
  <si>
    <t>Planta Desaladora</t>
  </si>
  <si>
    <t>LEÓN (Zapotillo)</t>
  </si>
  <si>
    <t>GTO-SLP</t>
  </si>
  <si>
    <t>SLP (El Realito)</t>
  </si>
  <si>
    <t>PTAR Sur</t>
  </si>
  <si>
    <t>ZCG</t>
  </si>
  <si>
    <t>PTAR El Ahogado</t>
  </si>
  <si>
    <t>PTAR Agua Prieta</t>
  </si>
  <si>
    <t>Mejora Integral de la Gestión</t>
  </si>
  <si>
    <t>PTAR Norte y Sur (2)</t>
  </si>
  <si>
    <t>PTAR El Morro</t>
  </si>
  <si>
    <t>Abastecimiento</t>
  </si>
  <si>
    <t xml:space="preserve">Mejora Integral </t>
  </si>
  <si>
    <t>Plantas canceladas: Salamanca y Los Cabos (Cangrejos, Mesa Colorada y San José del Cabo)</t>
  </si>
  <si>
    <t>Plantas suspendidas: Xalapa. Se construye pero sin apoyo FONADIN.</t>
  </si>
  <si>
    <t>CUADRO 5.8. Inversiones PROSSAPYS por entidad federativa, 2009.</t>
  </si>
  <si>
    <t>ASIGNACIÓN</t>
  </si>
  <si>
    <t>Sonora</t>
  </si>
  <si>
    <t>CONDONACIÓN</t>
  </si>
  <si>
    <t>FUENTE: CONAGUA/SGAPDS/SEDESOL, BANOBRAS, CONAVI, CDI y prestadores de servicios.</t>
  </si>
  <si>
    <t>GRÁFICA 1.2. Inversiones por programa y dependencia, 2009. (Millones de pesos)</t>
  </si>
  <si>
    <r>
      <rPr>
        <b/>
        <sz val="7"/>
        <color theme="6" tint="-0.499984740745262"/>
        <rFont val="Presidencia Fina"/>
        <family val="3"/>
      </rPr>
      <t>Nota:</t>
    </r>
    <r>
      <rPr>
        <sz val="7"/>
        <color theme="6" tint="-0.499984740745262"/>
        <rFont val="Presidencia Fina"/>
        <family val="3"/>
      </rPr>
      <t xml:space="preserve"> Los porcentajes y sumas pueden NO coincidir por el redondeo de las cifras.</t>
    </r>
  </si>
  <si>
    <t xml:space="preserve">Metas </t>
  </si>
  <si>
    <t>Avance real</t>
  </si>
  <si>
    <t>Metas del milenio</t>
  </si>
  <si>
    <t>CUADRO 3.1. Plantas potabilizadoras municipales en México, (1993 a 2009).</t>
  </si>
  <si>
    <t>ND: Dato No Disponible.</t>
  </si>
  <si>
    <t xml:space="preserve">CUADRO 3.3. Plantas potabilizadoras por Entidad Federativa según proceso de potabilización y caudal potabilizado, 2009.                       (parte 1)                                                                                                  </t>
  </si>
  <si>
    <t xml:space="preserve">CUADRO 3.3. Plantas potabilizadoras por Entidad Federativa según proceso de potabilización y caudal potabilizado, 2009.                                              (parte 2)                                                                                                  </t>
  </si>
  <si>
    <t>Agua suministrada (l/s)</t>
  </si>
  <si>
    <t>Agua desinfectada (l/s)</t>
  </si>
  <si>
    <t>SUMINISTRADO</t>
  </si>
  <si>
    <t>CLORADO</t>
  </si>
  <si>
    <t>COBERTURA</t>
  </si>
  <si>
    <t>l/s</t>
  </si>
  <si>
    <t>Total general</t>
  </si>
  <si>
    <t>FUENTE: Secretaria de Salud y CONAGUA/SGAPDS/Gerencia de Potabilización y Tratamiento.</t>
  </si>
  <si>
    <t>Gráfica 3.2 Cobertura y eficiencia de desinfección contra incidencia de enfermedades infecciosas intestinales, 2000-2009.</t>
  </si>
  <si>
    <t>FUENTE: Programa Nacional Hídrico 2007-2012</t>
  </si>
  <si>
    <t>Caudal incorporado</t>
  </si>
  <si>
    <t>Caudal tratado</t>
  </si>
  <si>
    <t>Caudal colectado</t>
  </si>
  <si>
    <t>Meta cobertura de tratamiento</t>
  </si>
  <si>
    <t>Avance cobertura de tratamiento</t>
  </si>
  <si>
    <t>Cobertura de tratamiento</t>
  </si>
  <si>
    <t>CUADRO 3.13. Caudal tratado en plantas de tratamiento en operación de agua residual municipal por entidad federativa según proceso de tratamiento, 2009. Parte 1</t>
  </si>
  <si>
    <t>CUADRO 3.13. Caudal tratado en plantas de tratamiento en operación de agua residual municipal por entidad federativa según proceso de tratamiento, 2009. Parte 2</t>
  </si>
  <si>
    <t>En ejecución</t>
  </si>
  <si>
    <t>En formalizaición</t>
  </si>
  <si>
    <t>En licitación</t>
  </si>
  <si>
    <t>En preparación</t>
  </si>
  <si>
    <r>
      <rPr>
        <b/>
        <sz val="10"/>
        <rFont val="Presidencia Fina"/>
        <family val="3"/>
      </rPr>
      <t xml:space="preserve">PTAR = </t>
    </r>
    <r>
      <rPr>
        <sz val="7"/>
        <rFont val="Presidencia Fina"/>
        <family val="3"/>
      </rPr>
      <t>Planta de Tratamiento de Aguas Residuales.</t>
    </r>
  </si>
  <si>
    <t>Tarifas del Agua para Uso Doméstico en México</t>
  </si>
  <si>
    <t>Municipio</t>
  </si>
  <si>
    <t>Tarifa total para 30 m3/mes</t>
  </si>
  <si>
    <t>cargo fijo (pesos/m3) total</t>
  </si>
  <si>
    <t>cargo fijo (pesos/m3) agua</t>
  </si>
  <si>
    <t>cargo fijo (pesos/m3) alcantarillado</t>
  </si>
  <si>
    <t>cuota agua menos cargo fijo (pesos/m3)</t>
  </si>
  <si>
    <t>cuota solo drenaje y/o saneamiento (pesos/m3)</t>
  </si>
  <si>
    <t>Tarifa agua (pesos/m3)</t>
  </si>
  <si>
    <t>Culiacán</t>
  </si>
  <si>
    <t>Hermosillo</t>
  </si>
  <si>
    <t>San Juan del Río</t>
  </si>
  <si>
    <t>Gómez Palacio</t>
  </si>
  <si>
    <t>Torreón</t>
  </si>
  <si>
    <t>Monterrey</t>
  </si>
  <si>
    <t>Atizapán</t>
  </si>
  <si>
    <t>jun 2008*</t>
  </si>
  <si>
    <t>no hubo cambios de acuerdo al organismo</t>
  </si>
  <si>
    <t>no hubo cambios</t>
  </si>
  <si>
    <t>*marzo 2008</t>
  </si>
  <si>
    <t>Tlaxcala ilustra que no se esta comparando lo mismo ya que considera la clase B y no la F</t>
  </si>
  <si>
    <t>no hubo cambios en SOAPAP de acuerdo al organismo</t>
  </si>
  <si>
    <t xml:space="preserve">CIUDAD </t>
  </si>
  <si>
    <r>
      <t>$/m</t>
    </r>
    <r>
      <rPr>
        <b/>
        <vertAlign val="superscript"/>
        <sz val="5"/>
        <color indexed="9"/>
        <rFont val="Arial"/>
        <family val="2"/>
      </rPr>
      <t>3</t>
    </r>
    <r>
      <rPr>
        <b/>
        <sz val="7"/>
        <color indexed="9"/>
        <rFont val="Arial"/>
        <family val="2"/>
      </rPr>
      <t xml:space="preserve"> EN CONSUMO                                DE 30 M</t>
    </r>
    <r>
      <rPr>
        <b/>
        <vertAlign val="superscript"/>
        <sz val="5"/>
        <color indexed="9"/>
        <rFont val="Arial"/>
        <family val="2"/>
      </rPr>
      <t>3</t>
    </r>
    <r>
      <rPr>
        <b/>
        <sz val="7"/>
        <color indexed="9"/>
        <rFont val="Arial"/>
        <family val="2"/>
      </rPr>
      <t>/MES</t>
    </r>
  </si>
  <si>
    <t>AUMENTO PORCENTUAL</t>
  </si>
  <si>
    <t>Cobertura de tratamiento %
(l/s)</t>
  </si>
  <si>
    <t>CUADRO 4.2.  Facturación y recaudación total nacional en 2009.</t>
  </si>
  <si>
    <t>Leon</t>
  </si>
  <si>
    <t>Tepeji del Río</t>
  </si>
  <si>
    <t>Celaya</t>
  </si>
  <si>
    <t>Parral</t>
  </si>
  <si>
    <t>Morelia (Itzícuaro)</t>
  </si>
  <si>
    <t>Gto-Jalisco</t>
  </si>
  <si>
    <t>Matehuala</t>
  </si>
  <si>
    <t>Fresnillo</t>
  </si>
  <si>
    <t>Zacatecas-Gpe</t>
  </si>
  <si>
    <t>Cd. Juárez</t>
  </si>
  <si>
    <t>PTAR Atotonilco</t>
  </si>
  <si>
    <t>ZC Valle de México</t>
  </si>
  <si>
    <t>Nuevo Laredo, Reynosa, Matamoros y Río Bravo (Acueducto Falcón)</t>
  </si>
  <si>
    <t>N° de Plantas</t>
  </si>
  <si>
    <t>N°</t>
  </si>
  <si>
    <t>Tratamiento primario</t>
  </si>
  <si>
    <t>Tratamiento secundario</t>
  </si>
  <si>
    <t>Tratamiento terciario</t>
  </si>
  <si>
    <t>GRÁFICA 3.4. Plantas de tratamiento de aguas residuales de origen industrial por nivel de tratamiento, 2009 (Porcentaje)</t>
  </si>
  <si>
    <t>Cantidad y Tipo de Operativo</t>
  </si>
  <si>
    <t>Inversiones Conagua</t>
  </si>
  <si>
    <t>Crédito/ IP/Otros</t>
  </si>
  <si>
    <t>GRÁFICA 5.1. Asignación 2009.</t>
  </si>
  <si>
    <t>Cuencas Centrales del Norte</t>
  </si>
  <si>
    <t>Balsas</t>
  </si>
  <si>
    <t>Noroeste</t>
  </si>
  <si>
    <t>Aguas del Valle de México</t>
  </si>
  <si>
    <t>Península de Baja California</t>
  </si>
  <si>
    <t>Frontera Sur</t>
  </si>
  <si>
    <t>GRÁFICA 5.2. Condonación 2009.</t>
  </si>
  <si>
    <t>CUADRO 1.3. Inversiones en zonas urbanas y rurales, por entidad federativa, 2009.</t>
  </si>
  <si>
    <t>CUADRO 1.4. Inversiones aplicadas en zonas urbanas y rurales,  1997 a 2009</t>
  </si>
  <si>
    <t>CUADRO 1.5. Inversiones reportadas por entidad federativa según el sector de origen del recurso, 2009.</t>
  </si>
  <si>
    <t>CUADRO 1.6. Rubro de aplicación de las inversiones por entidad federativa, 2009.</t>
  </si>
  <si>
    <t>CUADRO 1.9. Inversiones reportadas por programa y dependencia por sector de origen de los recursos, 2009.</t>
  </si>
  <si>
    <t>CUADRO 1.10. Inversiones reportadas por programa y dependencia responsable, por rubro de aplicación, 2009.</t>
  </si>
  <si>
    <t>CUADRO 1.11. Inversiones reportadas por entidad federativa en zonas urbanas, por sector de orígen de los recursos, 2009.</t>
  </si>
  <si>
    <t>CUADRO 1.12. Rubro de aplicación de las inversiones en zonas urbanas por entidad federativa, 2009.</t>
  </si>
  <si>
    <t>CUADRO 1.13. Origen de las inversiones por estado en zonas rurales, 2009.</t>
  </si>
  <si>
    <t>CUADRO 1.14 Rubro de aplicación de las inversiones en zonas rurales por entidad federativa, 2009.</t>
  </si>
  <si>
    <t>Información con base en el II Conteo de Población y Vivienda Inegi 2005 y las tasas de crecimiento CONAPO.</t>
  </si>
  <si>
    <r>
      <t>NOTA:</t>
    </r>
    <r>
      <rPr>
        <sz val="9"/>
        <color indexed="16"/>
        <rFont val="Presidencia Fina"/>
        <family val="3"/>
      </rPr>
      <t xml:space="preserve">  Inversiones totales en el subsector, que incluyen los programas a cargo de la CONAGUA más las realizadas por SEDESOL, CDI,
              BANOBRAS, organismos estatales, iniciativa privada, aportaciones de la EPA y créditos.</t>
    </r>
  </si>
  <si>
    <t>(Porcentajes)</t>
  </si>
  <si>
    <t>2005-2008</t>
  </si>
  <si>
    <t>Población Total</t>
  </si>
  <si>
    <t>Habitantes en viviendas particulares</t>
  </si>
  <si>
    <t>Población con servicio</t>
  </si>
  <si>
    <t>Población sin servicio</t>
  </si>
  <si>
    <t>habitantes</t>
  </si>
  <si>
    <t>Estado</t>
  </si>
  <si>
    <t>Agua potable %</t>
  </si>
  <si>
    <t>Alcantarillado %</t>
  </si>
  <si>
    <r>
      <t>Incremento de caudal (m</t>
    </r>
    <r>
      <rPr>
        <b/>
        <vertAlign val="superscript"/>
        <sz val="10"/>
        <rFont val="Presidencia Fina"/>
        <family val="3"/>
      </rPr>
      <t>3</t>
    </r>
    <r>
      <rPr>
        <b/>
        <sz val="10"/>
        <rFont val="Presidencia Fina"/>
        <family val="3"/>
      </rPr>
      <t>/s)</t>
    </r>
  </si>
  <si>
    <r>
      <t>Acumulado (m</t>
    </r>
    <r>
      <rPr>
        <b/>
        <vertAlign val="superscript"/>
        <sz val="10"/>
        <rFont val="Presidencia Fina"/>
        <family val="3"/>
      </rPr>
      <t>3</t>
    </r>
    <r>
      <rPr>
        <b/>
        <sz val="10"/>
        <rFont val="Presidencia Fina"/>
        <family val="3"/>
      </rPr>
      <t>/s)</t>
    </r>
  </si>
  <si>
    <r>
      <t>Agua residual colectada (m</t>
    </r>
    <r>
      <rPr>
        <b/>
        <vertAlign val="superscript"/>
        <sz val="10"/>
        <rFont val="Presidencia Fina"/>
        <family val="3"/>
      </rPr>
      <t>3</t>
    </r>
    <r>
      <rPr>
        <b/>
        <sz val="10"/>
        <rFont val="Presidencia Fina"/>
        <family val="3"/>
      </rPr>
      <t>/s)</t>
    </r>
  </si>
  <si>
    <r>
      <t>FUENTE</t>
    </r>
    <r>
      <rPr>
        <b/>
        <sz val="7"/>
        <color rgb="FF000080"/>
        <rFont val="Presidencia Fina"/>
        <family val="3"/>
      </rPr>
      <t>: CONAGUA/SGAPDS/Gerencia de Estudios y Proyectos de Agua Potable y Redes de Alcantarillado.</t>
    </r>
  </si>
  <si>
    <t>FUENTE: CONAGUA/SAGAPDS/Gerencia de Estudios y Proyectos de Agua Potable y Redes de Alcantarillado.</t>
  </si>
  <si>
    <t>Conagua Dic/2009</t>
  </si>
  <si>
    <t>Fuente: INEGI, Censos y Conteos de Población y Vivienda 1990 y 2000; Conteos de Población y Vivienda 1995 y 2005.</t>
  </si>
  <si>
    <t>FUENTE: PNH y CONAGUA</t>
  </si>
  <si>
    <r>
      <t xml:space="preserve">FUENTE:  </t>
    </r>
    <r>
      <rPr>
        <sz val="7"/>
        <color theme="3" tint="-0.499984740745262"/>
        <rFont val="Presidencia Fina"/>
        <family val="3"/>
      </rPr>
      <t>CONAGUA/SGAPDS/Gerencia de Potabilización y Tratamiento.</t>
    </r>
  </si>
  <si>
    <r>
      <t xml:space="preserve">ND: </t>
    </r>
    <r>
      <rPr>
        <sz val="7"/>
        <rFont val="Presidencia Fina"/>
        <family val="3"/>
      </rPr>
      <t>Dato no disponible.</t>
    </r>
  </si>
  <si>
    <t>CUADRO 2.1  Coberturas de los servicios de agua potable y alcantarillado por entidad federativa, a diciembre de 2009.</t>
  </si>
  <si>
    <t>Gráfica 2.2 Coberturas de agua potable por entidad federativa.</t>
  </si>
  <si>
    <t>CUADRO 2.4. Evolución de la cobertura de agua potable en zonas rurales, 1990-2009</t>
  </si>
  <si>
    <t>CUADRO 2.5. Evolución de la cobertura nacional de alcantarillado, 1990-2009.</t>
  </si>
  <si>
    <t>Gráfica 2.3. Cobertura de alcantarillado 1990-2009</t>
  </si>
  <si>
    <t>Gráfica 2.4 Coberturas de alcantarillado por entidad federativa.</t>
  </si>
  <si>
    <t>Cuadro 2.6. Evolución de la cobertura del alcantarillado en zonas urbanas, 1990-2009.</t>
  </si>
  <si>
    <t>Cuadro 2.7. Evolución de la cobertura de alcantarillado en zonas rurales, 1990-2009.</t>
  </si>
  <si>
    <t>CUADRO 2.9. Evolución en la cobertura del servicio de alcantarillado por Entidad Federativa.</t>
  </si>
  <si>
    <t>CUADRO 2.8. Evolución en la cobertura del servicio de agua potable por Entidad Federativa.</t>
  </si>
  <si>
    <t>GRÁFICA 2.5 Evolución de las coberturas de agua potable respecto al PNI, 2009.</t>
  </si>
  <si>
    <t>GRÁFICA 2.8  Evolución de la cobertura de agua potable respecto a las Metas del Milenio.</t>
  </si>
  <si>
    <t>GRÁFICA 2.9  Evolución de la cobertura de alcantarillado respecto a las Metas del Milenio.</t>
  </si>
  <si>
    <t>CUADRO 2.10  Avance en las Metas de Agua Potable del Programa Nacional de Infraestructura, 2007-2012.</t>
  </si>
  <si>
    <t>CUADRO 2.11  Avance en las Metas de Alcantarillado del Programa Nacional de Infraestructura, 2007-2012.</t>
  </si>
  <si>
    <t>CUADRO 3.8 Casos registrados de enfermedades infecciosas del aparato digestivo, 2002 a 2009.</t>
  </si>
  <si>
    <t>CUADRO 3.9 Evolución en la cobertura de tratamiento. 2000-2009.</t>
  </si>
  <si>
    <t>CUADRO 3.10 Plantas de tratamiento de aguas residuales municipales en operación.
 1992 - 2009</t>
  </si>
  <si>
    <t>CUADRO 3.11 Caudal de aguas residuales municipales tratadas, en plantas de tratamiento por entidad federativa, 2009.</t>
  </si>
  <si>
    <t>CUADRO 2.3 Evolución de la cobertura de agua potable en zonas urbanas, 1990-2009</t>
  </si>
  <si>
    <t>CUADRO 2.2. Evolución de la cobertura nacional de agua potable. 1990-2009</t>
  </si>
  <si>
    <r>
      <t xml:space="preserve">Otros </t>
    </r>
    <r>
      <rPr>
        <b/>
        <vertAlign val="superscript"/>
        <sz val="12"/>
        <color rgb="FF333300"/>
        <rFont val="Presidencia Fina"/>
        <family val="3"/>
      </rPr>
      <t>b/</t>
    </r>
  </si>
  <si>
    <t>Caudal Tratado</t>
  </si>
  <si>
    <t>Caudal Colectado</t>
  </si>
  <si>
    <t>Gráfico 2.x  Evolución de las coberturas de saneamiento respecto al PNH</t>
  </si>
  <si>
    <t>CUADRO 2.x Avance en la Meta de Saneamiento del Programa Nacional de Infraestructura, 2007-2012.</t>
  </si>
  <si>
    <t>VARIACION PORCENTUAL DE LAS TARIFAS POR TIPO DE SERVICIO DE AGUA DE 2008 A 2009 EN LAS PRINCIPALES CIUDADES</t>
  </si>
  <si>
    <t>Doméstico</t>
  </si>
  <si>
    <t>Comercial</t>
  </si>
  <si>
    <t>Industrial</t>
  </si>
  <si>
    <t>PROGRAMA FEDERAL DE SANEAMIENTO DE AGUAS RESIDUALES (PROSANEAR) 2009.</t>
  </si>
  <si>
    <t>CUADRO 5.3. Importes devueltos por trimestre, 2009.</t>
  </si>
  <si>
    <r>
      <t>FUENTE:</t>
    </r>
    <r>
      <rPr>
        <sz val="7"/>
        <rFont val="Presidencia Fina"/>
        <family val="3"/>
      </rPr>
      <t xml:space="preserve">  CONAGUA/SGAPDS/Gerencia de Potabilización y Tratamiento.</t>
    </r>
  </si>
  <si>
    <t>Caudal</t>
  </si>
  <si>
    <r>
      <t xml:space="preserve">FUENTE:  </t>
    </r>
    <r>
      <rPr>
        <sz val="7"/>
        <color rgb="FF006600"/>
        <rFont val="Presidencia Fina"/>
        <family val="3"/>
      </rPr>
      <t>CONAGUA/SGAPDS/Gerencia de Potabilización y Tratamiento.</t>
    </r>
  </si>
  <si>
    <t>Datos que presentan cambios considerables de un año a otro</t>
  </si>
  <si>
    <t>CUADRO 3.12  Caudal tratado en las plantas de tratamiento de aguas residuales municipales y porcentaje de cobertura de tratamiento por Entidad Federativa, 2003 - 2009.
 (Litros por segundo)</t>
  </si>
  <si>
    <r>
      <t xml:space="preserve">FUENTE: </t>
    </r>
    <r>
      <rPr>
        <sz val="7"/>
        <color indexed="18"/>
        <rFont val="Presidencia Fina"/>
        <family val="3"/>
      </rPr>
      <t>Secretaria de Salud y CONAGUA/SGAPDS/Gerencia de Potabilización y Tratamiento.</t>
    </r>
  </si>
  <si>
    <t>Casos de Cólera</t>
  </si>
  <si>
    <r>
      <t>FUENTE:</t>
    </r>
    <r>
      <rPr>
        <sz val="7"/>
        <color indexed="16"/>
        <rFont val="Presidencia Fina"/>
        <family val="3"/>
      </rPr>
      <t xml:space="preserve"> CONAGUA/SGAPDS/Gerencia de Fortalecimiento Institucional.</t>
    </r>
  </si>
  <si>
    <r>
      <t>FUENTE:</t>
    </r>
    <r>
      <rPr>
        <sz val="7"/>
        <color indexed="16"/>
        <rFont val="Century Gothic"/>
        <family val="2"/>
      </rPr>
      <t xml:space="preserve"> CONAGUA/SGAPDS/Gerencia de Fortalecimiento Institucional.</t>
    </r>
  </si>
  <si>
    <t>GRÁFICA 3.1   Agua suministrada y desinfectada  para consumo humano por Entidad Federativa y cobertura de desinfección, 2009.</t>
  </si>
  <si>
    <r>
      <t>FUENTE:</t>
    </r>
    <r>
      <rPr>
        <sz val="7"/>
        <rFont val="Presidencia Firme"/>
        <family val="3"/>
      </rPr>
      <t xml:space="preserve"> CONAGUA/SGT/Gerencia de Saneamiento y Calidad del Agua.</t>
    </r>
  </si>
  <si>
    <r>
      <rPr>
        <b/>
        <sz val="7"/>
        <color indexed="16"/>
        <rFont val="Presidencia Fina"/>
        <family val="3"/>
      </rPr>
      <t>Fuente:</t>
    </r>
    <r>
      <rPr>
        <sz val="7"/>
        <color indexed="16"/>
        <rFont val="Presidencia Fina"/>
        <family val="3"/>
      </rPr>
      <t xml:space="preserve"> CONAGUA/SGAPDS/Gerencia de Fortalecimiento de Organismos Operadores</t>
    </r>
  </si>
  <si>
    <r>
      <rPr>
        <b/>
        <sz val="7"/>
        <color indexed="16"/>
        <rFont val="Presidencia Fina"/>
        <family val="3"/>
      </rPr>
      <t>Nota:</t>
    </r>
    <r>
      <rPr>
        <sz val="7"/>
        <color indexed="16"/>
        <rFont val="Presidencia Fina"/>
        <family val="3"/>
      </rPr>
      <t xml:space="preserve"> Los que se presentan en cero % no aumentaron sus tarifas.</t>
    </r>
  </si>
  <si>
    <t xml:space="preserve">                En el caso de Oaxaca para el 2009 se considera la tarifa residencial B</t>
  </si>
  <si>
    <t>CUADRO 3.6 Evolución del agua suministrada y desinfectada para consumo humano por Entidad Federativa, 2000-2009.                                                                                                                                                                                                                                              (Litros por segundo)</t>
  </si>
  <si>
    <r>
      <t xml:space="preserve">CUADRO 1.1. Inversiones CONAGUA por sector de origen del recurso,  1991 a 2009. </t>
    </r>
    <r>
      <rPr>
        <b/>
        <vertAlign val="superscript"/>
        <sz val="12"/>
        <color theme="0"/>
        <rFont val="Presidencia Fina"/>
        <family val="3"/>
      </rPr>
      <t>b/</t>
    </r>
  </si>
  <si>
    <t>CUADRO 1.2. Inversiones totales por sector de origen del recurso,  1991 a 2009.</t>
  </si>
  <si>
    <t>GRÁFICA 4.2 Tarifas del agua para los tres usos en principales ciudades, 2009.</t>
  </si>
  <si>
    <t>GRÁFICA 4.1 Tarifas de agua potable y saneamiento para uso doméstico en principales ciudades, 2008.</t>
  </si>
  <si>
    <r>
      <rPr>
        <b/>
        <vertAlign val="superscript"/>
        <sz val="10"/>
        <color rgb="FF663300"/>
        <rFont val="Presidencia Fina"/>
        <family val="3"/>
      </rPr>
      <t>a</t>
    </r>
    <r>
      <rPr>
        <b/>
        <sz val="10"/>
        <color rgb="FF663300"/>
        <rFont val="Presidencia Fina"/>
        <family val="3"/>
      </rPr>
      <t xml:space="preserve">/ </t>
    </r>
    <r>
      <rPr>
        <sz val="7"/>
        <color rgb="FF663300"/>
        <rFont val="Presidencia Fina"/>
        <family val="3"/>
      </rPr>
      <t>Inversiones de las comisiones estatales, créditos, aportaciones de la EPA e iniciativa privada.</t>
    </r>
  </si>
  <si>
    <r>
      <rPr>
        <b/>
        <vertAlign val="superscript"/>
        <sz val="10"/>
        <color rgb="FF663300"/>
        <rFont val="Presidencia Fina"/>
        <family val="3"/>
      </rPr>
      <t>b/</t>
    </r>
    <r>
      <rPr>
        <b/>
        <sz val="7"/>
        <color rgb="FF663300"/>
        <rFont val="Presidencia Fina"/>
        <family val="3"/>
      </rPr>
      <t xml:space="preserve"> </t>
    </r>
    <r>
      <rPr>
        <sz val="7"/>
        <color rgb="FF663300"/>
        <rFont val="Presidencia Fina"/>
        <family val="3"/>
      </rPr>
      <t xml:space="preserve"> Inversiones del gobierno federal y sus contrapartes ejecutadas a través de los programas a cargo de la CONAGUA. Hasta 2001 solo se incluian estos conceptos.</t>
    </r>
  </si>
  <si>
    <r>
      <t xml:space="preserve">Otros </t>
    </r>
    <r>
      <rPr>
        <b/>
        <vertAlign val="superscript"/>
        <sz val="12"/>
        <color rgb="FF333300"/>
        <rFont val="Presidencia Fina"/>
        <family val="3"/>
      </rPr>
      <t>a/</t>
    </r>
  </si>
  <si>
    <r>
      <rPr>
        <b/>
        <vertAlign val="superscript"/>
        <sz val="10"/>
        <color rgb="FF663300"/>
        <rFont val="Presidencia Fina"/>
        <family val="3"/>
      </rPr>
      <t>a/</t>
    </r>
    <r>
      <rPr>
        <b/>
        <sz val="7"/>
        <color rgb="FF663300"/>
        <rFont val="Presidencia Fina"/>
        <family val="3"/>
      </rPr>
      <t xml:space="preserve"> </t>
    </r>
    <r>
      <rPr>
        <sz val="7"/>
        <color rgb="FF663300"/>
        <rFont val="Presidencia Fina"/>
        <family val="3"/>
      </rPr>
      <t>Inversiones de las comisiones estatales, créditos, aportaciones de la EPA e iniciativa privada.</t>
    </r>
  </si>
  <si>
    <r>
      <t xml:space="preserve">ZMCM </t>
    </r>
    <r>
      <rPr>
        <b/>
        <vertAlign val="superscript"/>
        <sz val="10"/>
        <color rgb="FF333300"/>
        <rFont val="Presidencia Fina"/>
        <family val="3"/>
      </rPr>
      <t>a/</t>
    </r>
    <r>
      <rPr>
        <vertAlign val="superscript"/>
        <sz val="10"/>
        <color rgb="FF333300"/>
        <rFont val="Presidencia Fina"/>
        <family val="3"/>
      </rPr>
      <t xml:space="preserve"> </t>
    </r>
  </si>
  <si>
    <r>
      <t>CUADRO 1.7. Inversiones por rubro de aplicación ejercidos a través de Programas de la CONAGUA</t>
    </r>
    <r>
      <rPr>
        <b/>
        <vertAlign val="superscript"/>
        <sz val="12"/>
        <color theme="0"/>
        <rFont val="Presidencia Fina"/>
        <family val="3"/>
      </rPr>
      <t>a/</t>
    </r>
    <r>
      <rPr>
        <b/>
        <sz val="12"/>
        <color theme="0"/>
        <rFont val="Presidencia Fina"/>
        <family val="3"/>
      </rPr>
      <t>,  1999 - 2009.</t>
    </r>
  </si>
  <si>
    <r>
      <t xml:space="preserve">Valle de México </t>
    </r>
    <r>
      <rPr>
        <b/>
        <vertAlign val="superscript"/>
        <sz val="12"/>
        <color rgb="FF333300"/>
        <rFont val="Presidencia Fina"/>
        <family val="3"/>
      </rPr>
      <t xml:space="preserve">b/ </t>
    </r>
  </si>
  <si>
    <r>
      <rPr>
        <b/>
        <vertAlign val="superscript"/>
        <sz val="12"/>
        <color rgb="FF774927"/>
        <rFont val="Presidencia Fina"/>
        <family val="3"/>
      </rPr>
      <t>a/</t>
    </r>
    <r>
      <rPr>
        <b/>
        <sz val="7"/>
        <color rgb="FF774927"/>
        <rFont val="Presidencia Fina"/>
        <family val="3"/>
      </rPr>
      <t xml:space="preserve">  </t>
    </r>
    <r>
      <rPr>
        <sz val="7"/>
        <color rgb="FF774927"/>
        <rFont val="Presidencia Fina"/>
        <family val="3"/>
      </rPr>
      <t xml:space="preserve">Estudios, proyectos y supervisión. </t>
    </r>
  </si>
  <si>
    <r>
      <rPr>
        <b/>
        <vertAlign val="superscript"/>
        <sz val="12"/>
        <color rgb="FF663300"/>
        <rFont val="Presidencia Fina"/>
        <family val="3"/>
      </rPr>
      <t xml:space="preserve">b/ </t>
    </r>
    <r>
      <rPr>
        <sz val="7"/>
        <color rgb="FF663300"/>
        <rFont val="Presidencia Fina"/>
        <family val="3"/>
      </rPr>
      <t xml:space="preserve"> Recursos del Fideicomiso 1928, con aportaciones del D.F. y por cuenta y orden del Estado de México.</t>
    </r>
  </si>
  <si>
    <r>
      <rPr>
        <b/>
        <vertAlign val="superscript"/>
        <sz val="12"/>
        <color rgb="FF663300"/>
        <rFont val="Presidencia Fina"/>
        <family val="3"/>
      </rPr>
      <t>a/</t>
    </r>
    <r>
      <rPr>
        <sz val="7"/>
        <color rgb="FF663300"/>
        <rFont val="Presidencia Fina"/>
        <family val="3"/>
      </rPr>
      <t xml:space="preserve"> El rubro otros se refiere a las inversiones de las comisiones estatales, desarrollos de vivienda, créditos, aportaciones de la EPA e iniciativa privada.</t>
    </r>
  </si>
  <si>
    <r>
      <rPr>
        <b/>
        <vertAlign val="superscript"/>
        <sz val="12"/>
        <color rgb="FF663300"/>
        <rFont val="Presidencia Fina"/>
        <family val="3"/>
      </rPr>
      <t xml:space="preserve">b/ </t>
    </r>
    <r>
      <rPr>
        <sz val="7"/>
        <color rgb="FF663300"/>
        <rFont val="Presidencia Fina"/>
        <family val="3"/>
      </rPr>
      <t>Considera el D.F. y 18 municipios conurbados del Estado de México.</t>
    </r>
  </si>
  <si>
    <r>
      <rPr>
        <b/>
        <vertAlign val="superscript"/>
        <sz val="12"/>
        <color rgb="FF663300"/>
        <rFont val="Presidencia Fina"/>
        <family val="3"/>
      </rPr>
      <t>a/</t>
    </r>
    <r>
      <rPr>
        <sz val="7"/>
        <color rgb="FF663300"/>
        <rFont val="Presidencia Fina"/>
        <family val="3"/>
      </rPr>
      <t xml:space="preserve"> Estudios y proyectos.</t>
    </r>
  </si>
  <si>
    <r>
      <rPr>
        <b/>
        <vertAlign val="superscript"/>
        <sz val="12"/>
        <color rgb="FF663300"/>
        <rFont val="Presidencia Fina"/>
        <family val="3"/>
      </rPr>
      <t>b/</t>
    </r>
    <r>
      <rPr>
        <vertAlign val="superscript"/>
        <sz val="12"/>
        <color rgb="FF663300"/>
        <rFont val="Presidencia Fina"/>
        <family val="3"/>
      </rPr>
      <t xml:space="preserve"> </t>
    </r>
    <r>
      <rPr>
        <sz val="7"/>
        <color rgb="FF663300"/>
        <rFont val="Presidencia Fina"/>
        <family val="3"/>
      </rPr>
      <t>Zona Metropolitana de la Ciudad de México, considera el D.F. y 18 municipios conurbados del Estado de México.</t>
    </r>
  </si>
  <si>
    <r>
      <t xml:space="preserve">Saneamiento </t>
    </r>
    <r>
      <rPr>
        <b/>
        <vertAlign val="superscript"/>
        <sz val="12"/>
        <color rgb="FF333300"/>
        <rFont val="Presidencia Fina"/>
        <family val="3"/>
      </rPr>
      <t>a/</t>
    </r>
  </si>
  <si>
    <r>
      <rPr>
        <b/>
        <vertAlign val="superscript"/>
        <sz val="12"/>
        <color rgb="FF663300"/>
        <rFont val="Presidencia Fina"/>
        <family val="3"/>
      </rPr>
      <t>a/</t>
    </r>
    <r>
      <rPr>
        <sz val="7"/>
        <color rgb="FF663300"/>
        <rFont val="Presidencia Fina"/>
        <family val="3"/>
      </rPr>
      <t xml:space="preserve">  Implica  construcción de letrinas y fosas sépticas</t>
    </r>
  </si>
  <si>
    <r>
      <rPr>
        <b/>
        <vertAlign val="superscript"/>
        <sz val="12"/>
        <color rgb="FF663300"/>
        <rFont val="Presidencia Fina"/>
        <family val="3"/>
      </rPr>
      <t>b/</t>
    </r>
    <r>
      <rPr>
        <b/>
        <sz val="7"/>
        <color rgb="FF663300"/>
        <rFont val="Presidencia Fina"/>
        <family val="3"/>
      </rPr>
      <t xml:space="preserve"> </t>
    </r>
    <r>
      <rPr>
        <sz val="7"/>
        <color rgb="FF663300"/>
        <rFont val="Presidencia Fina"/>
        <family val="3"/>
      </rPr>
      <t xml:space="preserve"> Estudios y proyectos y supervisión. </t>
    </r>
  </si>
  <si>
    <r>
      <t>Desinfección de sitios de alto riesgo</t>
    </r>
    <r>
      <rPr>
        <b/>
        <vertAlign val="superscript"/>
        <sz val="12"/>
        <rFont val="Presidencia Fina"/>
        <family val="3"/>
      </rPr>
      <t xml:space="preserve"> </t>
    </r>
    <r>
      <rPr>
        <b/>
        <vertAlign val="superscript"/>
        <sz val="12"/>
        <color indexed="18"/>
        <rFont val="Presidencia Fina"/>
        <family val="3"/>
      </rPr>
      <t xml:space="preserve">b/ </t>
    </r>
  </si>
  <si>
    <r>
      <t xml:space="preserve">Caleado de focos de infección </t>
    </r>
    <r>
      <rPr>
        <b/>
        <vertAlign val="superscript"/>
        <sz val="12"/>
        <color indexed="18"/>
        <rFont val="Presidencia Fina"/>
        <family val="3"/>
      </rPr>
      <t xml:space="preserve">c/ </t>
    </r>
  </si>
  <si>
    <r>
      <rPr>
        <b/>
        <vertAlign val="superscript"/>
        <sz val="12"/>
        <color indexed="18"/>
        <rFont val="Presidencia Fina"/>
        <family val="3"/>
      </rPr>
      <t>a/</t>
    </r>
    <r>
      <rPr>
        <b/>
        <sz val="7"/>
        <color indexed="18"/>
        <rFont val="Presidencia Fina"/>
        <family val="3"/>
      </rPr>
      <t> </t>
    </r>
    <r>
      <rPr>
        <sz val="7"/>
        <color indexed="18"/>
        <rFont val="Presidencia Fina"/>
        <family val="3"/>
      </rPr>
      <t>  Pozos, norias, manantiales, depósitos y cisternas entre otros, clorados una o más veces en el año.</t>
    </r>
  </si>
  <si>
    <r>
      <rPr>
        <b/>
        <vertAlign val="superscript"/>
        <sz val="12"/>
        <color indexed="18"/>
        <rFont val="Presidencia Fina"/>
        <family val="3"/>
      </rPr>
      <t>b/</t>
    </r>
    <r>
      <rPr>
        <sz val="7"/>
        <color indexed="18"/>
        <rFont val="Presidencia Fina"/>
        <family val="3"/>
      </rPr>
      <t>   Sitios de alto riesgo: hospitales, centrales de autobuses, mercados, restaurantes, hoteles, escuelas y albergues.</t>
    </r>
  </si>
  <si>
    <r>
      <rPr>
        <b/>
        <vertAlign val="superscript"/>
        <sz val="12"/>
        <color indexed="18"/>
        <rFont val="Presidencia Fina"/>
        <family val="3"/>
      </rPr>
      <t>c/ </t>
    </r>
    <r>
      <rPr>
        <b/>
        <sz val="7"/>
        <color indexed="18"/>
        <rFont val="Presidencia Fina"/>
        <family val="3"/>
      </rPr>
      <t> </t>
    </r>
    <r>
      <rPr>
        <sz val="7"/>
        <color indexed="18"/>
        <rFont val="Presidencia Fina"/>
        <family val="3"/>
      </rPr>
      <t xml:space="preserve"> Letrinas, fosas sépticas, fecalismo al aire libre, basureros, hoyos negros.</t>
    </r>
  </si>
  <si>
    <r>
      <t xml:space="preserve">Cloración de fuentes de abastecimiento </t>
    </r>
    <r>
      <rPr>
        <b/>
        <vertAlign val="superscript"/>
        <sz val="12"/>
        <color indexed="18"/>
        <rFont val="Presidencia Fina"/>
        <family val="3"/>
      </rPr>
      <t>a/</t>
    </r>
  </si>
  <si>
    <r>
      <rPr>
        <b/>
        <sz val="10"/>
        <color indexed="18"/>
        <rFont val="Presidencia Fina"/>
        <family val="3"/>
      </rPr>
      <t>*</t>
    </r>
    <r>
      <rPr>
        <sz val="7"/>
        <color indexed="18"/>
        <rFont val="Presidencia Fina"/>
        <family val="3"/>
      </rPr>
      <t xml:space="preserve"> El número de casos por tipo de enfermedad  no coincide con los reportados en la edición del año correspondiente, debido a que la Secretaría de Salud realizó ajustes a su información preliminar.</t>
    </r>
  </si>
  <si>
    <t>GRÁFICA 3.2 Cobertura y eficiencia de desinfección vs Incidencia de enfermedades infecciosas intestinales, 2000-2009.</t>
  </si>
  <si>
    <r>
      <t>Otros</t>
    </r>
    <r>
      <rPr>
        <b/>
        <vertAlign val="superscript"/>
        <sz val="12"/>
        <color rgb="FF333300"/>
        <rFont val="Presidencia Fina"/>
        <family val="3"/>
      </rPr>
      <t xml:space="preserve"> a/</t>
    </r>
  </si>
  <si>
    <r>
      <rPr>
        <b/>
        <vertAlign val="superscript"/>
        <sz val="10"/>
        <color rgb="FF663300"/>
        <rFont val="Presidencia Fina"/>
        <family val="3"/>
      </rPr>
      <t>a/</t>
    </r>
    <r>
      <rPr>
        <b/>
        <sz val="7"/>
        <color rgb="FF663300"/>
        <rFont val="Presidencia Fina"/>
        <family val="3"/>
      </rPr>
      <t xml:space="preserve"> </t>
    </r>
    <r>
      <rPr>
        <sz val="7"/>
        <color rgb="FF663300"/>
        <rFont val="Presidencia Fina"/>
        <family val="3"/>
      </rPr>
      <t>Zona Metropolitana de la Ciudad de México, comprende el D.F. y 18 municipios conurbados del Estado de México.</t>
    </r>
  </si>
  <si>
    <r>
      <t xml:space="preserve">ZMCM </t>
    </r>
    <r>
      <rPr>
        <b/>
        <vertAlign val="superscript"/>
        <sz val="10"/>
        <color indexed="16"/>
        <rFont val="Presidencia Fina"/>
        <family val="3"/>
      </rPr>
      <t xml:space="preserve">b/ </t>
    </r>
  </si>
  <si>
    <r>
      <rPr>
        <b/>
        <vertAlign val="superscript"/>
        <sz val="12"/>
        <color rgb="FF663300"/>
        <rFont val="Presidencia Fina"/>
        <family val="3"/>
      </rPr>
      <t>a/</t>
    </r>
    <r>
      <rPr>
        <sz val="7"/>
        <color rgb="FF663300"/>
        <rFont val="Presidencia Fina"/>
        <family val="3"/>
      </rPr>
      <t xml:space="preserve"> Inversiones de las comisiones estatales, desarrollos de vivienda, créditos, aportaciones de la EPA e iniciativa privada.</t>
    </r>
  </si>
  <si>
    <r>
      <rPr>
        <b/>
        <vertAlign val="superscript"/>
        <sz val="12"/>
        <color rgb="FF663300"/>
        <rFont val="Presidencia Fina"/>
        <family val="3"/>
      </rPr>
      <t>b/</t>
    </r>
    <r>
      <rPr>
        <sz val="7"/>
        <color rgb="FF663300"/>
        <rFont val="Presidencia Fina"/>
        <family val="3"/>
      </rPr>
      <t>Zona Metropolitana de la Ciudad de México, considera el D.F. y 18 municipios conurbados del Estado de México. Recursos del Fideicomiso 1928.</t>
    </r>
  </si>
  <si>
    <r>
      <rPr>
        <b/>
        <vertAlign val="superscript"/>
        <sz val="12"/>
        <color rgb="FF663300"/>
        <rFont val="Presidencia Fina"/>
        <family val="3"/>
      </rPr>
      <t>a/</t>
    </r>
    <r>
      <rPr>
        <sz val="7"/>
        <color rgb="FF663300"/>
        <rFont val="Presidencia Fina"/>
        <family val="3"/>
      </rPr>
      <t xml:space="preserve">  Considera estudios y proyectos y supervisión.</t>
    </r>
  </si>
  <si>
    <r>
      <rPr>
        <b/>
        <vertAlign val="superscript"/>
        <sz val="12"/>
        <color rgb="FF663300"/>
        <rFont val="Presidencia Fina"/>
        <family val="3"/>
      </rPr>
      <t>b/</t>
    </r>
    <r>
      <rPr>
        <b/>
        <vertAlign val="superscript"/>
        <sz val="10"/>
        <color rgb="FF663300"/>
        <rFont val="Presidencia Fina"/>
        <family val="3"/>
      </rPr>
      <t xml:space="preserve"> </t>
    </r>
    <r>
      <rPr>
        <sz val="7"/>
        <color rgb="FF663300"/>
        <rFont val="Presidencia Fina"/>
        <family val="3"/>
      </rPr>
      <t xml:space="preserve">Zona Metropolitana de la Ciudad de México, considera el D.F. y 18 municipios conurbados del Estado de México. </t>
    </r>
  </si>
  <si>
    <r>
      <rPr>
        <b/>
        <vertAlign val="superscript"/>
        <sz val="12"/>
        <color rgb="FF663300"/>
        <rFont val="Presidencia Fina"/>
        <family val="3"/>
      </rPr>
      <t xml:space="preserve">a/ </t>
    </r>
    <r>
      <rPr>
        <sz val="7"/>
        <color rgb="FF663300"/>
        <rFont val="Presidencia Fina"/>
        <family val="3"/>
      </rPr>
      <t xml:space="preserve"> Inversiones del gobierno federal y sus contrapartes ejecutadas a través de los programas a cargo de la CONAGUA. </t>
    </r>
  </si>
  <si>
    <r>
      <rPr>
        <b/>
        <vertAlign val="superscript"/>
        <sz val="12"/>
        <color rgb="FF663300"/>
        <rFont val="Presidencia Fina"/>
        <family val="3"/>
      </rPr>
      <t>b/</t>
    </r>
    <r>
      <rPr>
        <sz val="7"/>
        <color rgb="FF663300"/>
        <rFont val="Presidencia Fina"/>
        <family val="3"/>
      </rPr>
      <t xml:space="preserve">  Considera estudios y proyectos y supervisión.</t>
    </r>
  </si>
  <si>
    <r>
      <t xml:space="preserve">CUADRO 1.8. Inversiones totales por rubro de aplicación </t>
    </r>
    <r>
      <rPr>
        <b/>
        <vertAlign val="superscript"/>
        <sz val="12"/>
        <color theme="0"/>
        <rFont val="Presidencia Fina"/>
        <family val="3"/>
      </rPr>
      <t>a/</t>
    </r>
    <r>
      <rPr>
        <b/>
        <sz val="12"/>
        <color theme="0"/>
        <rFont val="Presidencia Fina"/>
        <family val="3"/>
      </rPr>
      <t>, 2002 - 2009.</t>
    </r>
  </si>
  <si>
    <r>
      <rPr>
        <b/>
        <vertAlign val="superscript"/>
        <sz val="10"/>
        <color rgb="FF663300"/>
        <rFont val="Presidencia Fina"/>
        <family val="3"/>
      </rPr>
      <t>a/</t>
    </r>
    <r>
      <rPr>
        <b/>
        <vertAlign val="superscript"/>
        <sz val="7"/>
        <color rgb="FF663300"/>
        <rFont val="Presidencia Fina"/>
        <family val="3"/>
      </rPr>
      <t xml:space="preserve"> </t>
    </r>
    <r>
      <rPr>
        <sz val="7"/>
        <color rgb="FF663300"/>
        <rFont val="Presidencia Fina"/>
        <family val="3"/>
      </rPr>
      <t>Inversiones totales en el subsector, que incluyen los programas a cargo de la CONAGUA más las realizadas por SEDESOL, CDI, BANOBRAS, organismos estatales, inciativa privada, aportaciones de la EPA y créditos.</t>
    </r>
  </si>
  <si>
    <r>
      <t xml:space="preserve">VALLE DE MÉXICO </t>
    </r>
    <r>
      <rPr>
        <b/>
        <vertAlign val="superscript"/>
        <sz val="12"/>
        <color rgb="FF333300"/>
        <rFont val="Presidencia Fina"/>
        <family val="3"/>
      </rPr>
      <t>a/</t>
    </r>
    <r>
      <rPr>
        <vertAlign val="superscript"/>
        <sz val="12"/>
        <color rgb="FF333300"/>
        <rFont val="Presidencia Fina"/>
        <family val="3"/>
      </rPr>
      <t xml:space="preserve"> </t>
    </r>
  </si>
  <si>
    <r>
      <t>PROSSAPYS</t>
    </r>
    <r>
      <rPr>
        <vertAlign val="superscript"/>
        <sz val="10"/>
        <color rgb="FF333300"/>
        <rFont val="Presidencia Fina"/>
        <family val="3"/>
      </rPr>
      <t xml:space="preserve"> </t>
    </r>
    <r>
      <rPr>
        <b/>
        <vertAlign val="superscript"/>
        <sz val="12"/>
        <color rgb="FF333300"/>
        <rFont val="Presidencia Fina"/>
        <family val="3"/>
      </rPr>
      <t xml:space="preserve">b/ </t>
    </r>
  </si>
  <si>
    <r>
      <t xml:space="preserve">PROMAGUA </t>
    </r>
    <r>
      <rPr>
        <b/>
        <vertAlign val="superscript"/>
        <sz val="12"/>
        <color rgb="FF333300"/>
        <rFont val="Presidencia Fina"/>
        <family val="3"/>
      </rPr>
      <t xml:space="preserve">b/ </t>
    </r>
  </si>
  <si>
    <r>
      <rPr>
        <b/>
        <vertAlign val="superscript"/>
        <sz val="10"/>
        <color rgb="FF663300"/>
        <rFont val="Presidencia Fina"/>
        <family val="3"/>
      </rPr>
      <t xml:space="preserve">a/ </t>
    </r>
    <r>
      <rPr>
        <sz val="7"/>
        <color rgb="FF663300"/>
        <rFont val="Presidencia Fina"/>
        <family val="3"/>
      </rPr>
      <t>Recursos del Fideicomiso 1928, con aportaciones del D.F. y por cuenta y orden del Estado de México.</t>
    </r>
  </si>
  <si>
    <r>
      <rPr>
        <b/>
        <vertAlign val="superscript"/>
        <sz val="10"/>
        <color rgb="FF663300"/>
        <rFont val="Presidencia Fina"/>
        <family val="3"/>
      </rPr>
      <t>b/</t>
    </r>
    <r>
      <rPr>
        <b/>
        <sz val="7"/>
        <color rgb="FF663300"/>
        <rFont val="Presidencia Fina"/>
        <family val="3"/>
      </rPr>
      <t xml:space="preserve"> </t>
    </r>
    <r>
      <rPr>
        <sz val="7"/>
        <color rgb="FF663300"/>
        <rFont val="Presidencia Fina"/>
        <family val="3"/>
      </rPr>
      <t>La inversión estatal incluye los recursos municipales.</t>
    </r>
  </si>
  <si>
    <r>
      <t>Caudal (m</t>
    </r>
    <r>
      <rPr>
        <b/>
        <vertAlign val="superscript"/>
        <sz val="12"/>
        <color indexed="9"/>
        <rFont val="Presidencia Fina"/>
        <family val="3"/>
      </rPr>
      <t>3</t>
    </r>
    <r>
      <rPr>
        <b/>
        <sz val="8"/>
        <color indexed="9"/>
        <rFont val="Presidencia Fina"/>
        <family val="3"/>
      </rPr>
      <t>/s)</t>
    </r>
  </si>
  <si>
    <t>GRÁFICA 2.6 Evolución de las coberturas de alcantarillado respecto al PNI, 2009.</t>
  </si>
  <si>
    <r>
      <t>cargo fijo (pesos/m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 agua</t>
    </r>
  </si>
  <si>
    <r>
      <t xml:space="preserve">cargo fijo </t>
    </r>
    <r>
      <rPr>
        <b/>
        <sz val="10"/>
        <rFont val="Arial"/>
        <family val="2"/>
      </rPr>
      <t>total</t>
    </r>
  </si>
  <si>
    <t>cuota agua menos cargo fijo</t>
  </si>
  <si>
    <t>cuota solo drenaje y/o saneamiento</t>
  </si>
  <si>
    <t>cargo fijo total</t>
  </si>
  <si>
    <t>FUENTE: CONAGUA/SGAPDS/Gerencia de Estudios y Proyectos de Agua Potable y Redes de Alcantarillado. Elaborado con base a los datos estimados a partir de una muestra de 506 organismos operadores de todo el país.</t>
  </si>
  <si>
    <r>
      <t xml:space="preserve">ZMCM </t>
    </r>
    <r>
      <rPr>
        <b/>
        <vertAlign val="superscript"/>
        <sz val="10"/>
        <color rgb="FF333300"/>
        <rFont val="Presidencia Fina"/>
        <family val="3"/>
      </rPr>
      <t>b/</t>
    </r>
    <r>
      <rPr>
        <vertAlign val="superscript"/>
        <sz val="10"/>
        <color rgb="FF333300"/>
        <rFont val="Presidencia Fina"/>
        <family val="3"/>
      </rPr>
      <t xml:space="preserve"> </t>
    </r>
  </si>
  <si>
    <r>
      <t>FUENTE:</t>
    </r>
    <r>
      <rPr>
        <sz val="7"/>
        <color indexed="58"/>
        <rFont val="Presidencia Fina"/>
        <family val="3"/>
      </rPr>
      <t xml:space="preserve">  CONAGUA/SGAPDS/Gerencia de Potabilización y Tratamiento.</t>
    </r>
  </si>
  <si>
    <t>GRÁFICA 1.3. Inversiones de los programas a cargo de la CONAGUA, 2009          (Millones de Pesos)</t>
  </si>
  <si>
    <t>Columna1</t>
  </si>
  <si>
    <t xml:space="preserve">AGUA POTABLE Y SANEAMIENTO EN ZONAS URBANAS </t>
  </si>
  <si>
    <t xml:space="preserve">VALLE DE MÉXICO b/ </t>
  </si>
</sst>
</file>

<file path=xl/styles.xml><?xml version="1.0" encoding="utf-8"?>
<styleSheet xmlns="http://schemas.openxmlformats.org/spreadsheetml/2006/main">
  <numFmts count="5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.0"/>
    <numFmt numFmtId="168" formatCode="0.0%"/>
    <numFmt numFmtId="169" formatCode="_(* #,##0.00_);_(* \(#,##0.00\);_(* &quot;-&quot;??_);_(@_)"/>
    <numFmt numFmtId="170" formatCode="_(* #,##0_);_(* \(#,##0\);_(* &quot;-&quot;??_);_(@_)"/>
    <numFmt numFmtId="171" formatCode="#,##0\ \ \ \ "/>
    <numFmt numFmtId="172" formatCode="General_)"/>
    <numFmt numFmtId="173" formatCode="###\ ##0.0___);\-\ ###\ ##0.0___)"/>
    <numFmt numFmtId="174" formatCode="_-* #,##0.0_-;\-* #,##0.0_-;_-* &quot;-&quot;_-;_-@_-"/>
    <numFmt numFmtId="175" formatCode="_-[$€-2]* #,##0.00_-;\-[$€-2]* #,##0.00_-;_-[$€-2]* &quot;-&quot;??_-"/>
    <numFmt numFmtId="176" formatCode="_-* #,##0.000_-;\-* #,##0.000_-;_-* &quot;-&quot;??_-;_-@_-"/>
    <numFmt numFmtId="177" formatCode="0.0000"/>
    <numFmt numFmtId="178" formatCode="#,##0.0\ \ \ "/>
    <numFmt numFmtId="179" formatCode="#,##0\ \ \ "/>
    <numFmt numFmtId="180" formatCode="#,##0.0\ \ \ \ "/>
    <numFmt numFmtId="181" formatCode="#,##0.0\ \ \ \ \ "/>
    <numFmt numFmtId="182" formatCode="#,##0.0\ \ \ \ \ \ \ "/>
    <numFmt numFmtId="183" formatCode="0.0%\ \ "/>
    <numFmt numFmtId="184" formatCode="#,##0.0\ \ \ \ \ \ \ \ "/>
    <numFmt numFmtId="185" formatCode="#,##0\ \ \ \ \ \ \ \ "/>
    <numFmt numFmtId="186" formatCode="#,##0.000\ \ \ \ "/>
    <numFmt numFmtId="187" formatCode="0.00000000000"/>
    <numFmt numFmtId="188" formatCode="_-* #,##0.0000_-;\-* #,##0.0000_-;_-* &quot;-&quot;??_-;_-@_-"/>
    <numFmt numFmtId="189" formatCode="0.0%\ \ \ \ \ \ \ \ "/>
    <numFmt numFmtId="190" formatCode="0.00\ \ \ "/>
    <numFmt numFmtId="191" formatCode="#,##0.00\ \ \ \ \ \ \ \ "/>
    <numFmt numFmtId="192" formatCode="###\ ##0"/>
    <numFmt numFmtId="193" formatCode="#,##0.00\ \ \ \ \ "/>
    <numFmt numFmtId="194" formatCode="0.00000000000000"/>
    <numFmt numFmtId="195" formatCode="#,##0.0\ \ \ \ \ \ "/>
    <numFmt numFmtId="196" formatCode="#\ ###\ ###\ ##0.0\ \ "/>
    <numFmt numFmtId="197" formatCode="#\ ###\ ###\ ##0.#\ \ "/>
    <numFmt numFmtId="198" formatCode="#\ ###\ ###\ ##0\ \ "/>
    <numFmt numFmtId="199" formatCode="#,##0\ \ \ \ \ "/>
    <numFmt numFmtId="200" formatCode="#,##0.000"/>
    <numFmt numFmtId="201" formatCode="_(* #,##0.000_);_(* \(#,##0.000\);_(* &quot;-&quot;??_);_(@_)"/>
    <numFmt numFmtId="202" formatCode="#\ ##0"/>
    <numFmt numFmtId="203" formatCode="0.000"/>
    <numFmt numFmtId="204" formatCode="###\ ##0___);\-\ ###\ ##0___)"/>
    <numFmt numFmtId="205" formatCode="#\ ###\ ##0\ \ \ \ \ \ \ \ \ \ ;\-#\ ##0\ \ \ \ \ "/>
    <numFmt numFmtId="206" formatCode="#\ ###\ ##0"/>
    <numFmt numFmtId="207" formatCode="#\ ###\ ##0.0"/>
    <numFmt numFmtId="208" formatCode="#\ ###\ ###\ ##0\ \ \ \ "/>
    <numFmt numFmtId="209" formatCode="&quot;-&quot;"/>
    <numFmt numFmtId="210" formatCode="#\ ###\ ##0;[Red]\-#\ #####0"/>
    <numFmt numFmtId="211" formatCode="#\ ###.00\ \ "/>
    <numFmt numFmtId="212" formatCode="#\ ##0.0"/>
  </numFmts>
  <fonts count="2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7"/>
      <color indexed="8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vertAlign val="superscript"/>
      <sz val="8"/>
      <color indexed="8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b/>
      <sz val="7"/>
      <name val="Century Gothic"/>
      <family val="2"/>
    </font>
    <font>
      <sz val="7"/>
      <name val="Arial"/>
      <family val="2"/>
    </font>
    <font>
      <sz val="10"/>
      <name val="Arial"/>
      <family val="2"/>
    </font>
    <font>
      <sz val="8"/>
      <name val="Univers (W1)"/>
    </font>
    <font>
      <b/>
      <sz val="8"/>
      <color indexed="9"/>
      <name val="Century Gothic"/>
      <family val="2"/>
    </font>
    <font>
      <sz val="10"/>
      <color indexed="18"/>
      <name val="Arial"/>
      <family val="2"/>
    </font>
    <font>
      <b/>
      <sz val="11"/>
      <color indexed="18"/>
      <name val="Century Gothic"/>
      <family val="2"/>
    </font>
    <font>
      <sz val="10"/>
      <color indexed="18"/>
      <name val="Century Gothic"/>
      <family val="2"/>
    </font>
    <font>
      <b/>
      <sz val="6"/>
      <color indexed="9"/>
      <name val="Century Gothic"/>
      <family val="2"/>
    </font>
    <font>
      <b/>
      <sz val="7"/>
      <color indexed="9"/>
      <name val="Century Gothic"/>
      <family val="2"/>
    </font>
    <font>
      <sz val="10"/>
      <color indexed="10"/>
      <name val="Arial"/>
      <family val="2"/>
    </font>
    <font>
      <b/>
      <sz val="12"/>
      <color indexed="10"/>
      <name val="Century Gothic"/>
      <family val="2"/>
    </font>
    <font>
      <sz val="10"/>
      <color indexed="10"/>
      <name val="Century Gothic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8"/>
      <color indexed="8"/>
      <name val="Century Gothic"/>
      <family val="2"/>
    </font>
    <font>
      <b/>
      <vertAlign val="superscript"/>
      <sz val="8"/>
      <name val="Century Gothic"/>
      <family val="2"/>
    </font>
    <font>
      <sz val="6"/>
      <name val="Arial"/>
      <family val="2"/>
    </font>
    <font>
      <b/>
      <sz val="6.5"/>
      <name val="Century Gothic"/>
      <family val="2"/>
    </font>
    <font>
      <sz val="9"/>
      <color indexed="12"/>
      <name val="Arial"/>
      <family val="2"/>
    </font>
    <font>
      <b/>
      <sz val="7"/>
      <color indexed="18"/>
      <name val="Century Gothic"/>
      <family val="2"/>
    </font>
    <font>
      <sz val="7"/>
      <color indexed="18"/>
      <name val="Century Gothic"/>
      <family val="2"/>
    </font>
    <font>
      <b/>
      <sz val="8"/>
      <color indexed="58"/>
      <name val="Century Gothic"/>
      <family val="2"/>
    </font>
    <font>
      <b/>
      <sz val="7"/>
      <color indexed="58"/>
      <name val="Century Gothic"/>
      <family val="2"/>
    </font>
    <font>
      <b/>
      <sz val="6"/>
      <color indexed="58"/>
      <name val="Century Gothic"/>
      <family val="2"/>
    </font>
    <font>
      <b/>
      <sz val="11"/>
      <color indexed="62"/>
      <name val="Century Gothic"/>
      <family val="2"/>
    </font>
    <font>
      <b/>
      <sz val="11"/>
      <color indexed="58"/>
      <name val="Century Gothic"/>
      <family val="2"/>
    </font>
    <font>
      <sz val="10"/>
      <color indexed="59"/>
      <name val="Century Gothic"/>
      <family val="2"/>
    </font>
    <font>
      <b/>
      <sz val="11"/>
      <color indexed="59"/>
      <name val="Century Gothic"/>
      <family val="2"/>
    </font>
    <font>
      <sz val="10"/>
      <color indexed="59"/>
      <name val="Arial"/>
      <family val="2"/>
    </font>
    <font>
      <b/>
      <sz val="9"/>
      <color indexed="58"/>
      <name val="Century Gothic"/>
      <family val="2"/>
    </font>
    <font>
      <sz val="8"/>
      <color indexed="18"/>
      <name val="Century Gothic"/>
      <family val="2"/>
    </font>
    <font>
      <sz val="7"/>
      <color indexed="18"/>
      <name val="Arial"/>
      <family val="2"/>
    </font>
    <font>
      <b/>
      <sz val="7"/>
      <color indexed="16"/>
      <name val="Century Gothic"/>
      <family val="2"/>
    </font>
    <font>
      <sz val="7"/>
      <color indexed="16"/>
      <name val="Century Gothic"/>
      <family val="2"/>
    </font>
    <font>
      <sz val="10"/>
      <color indexed="16"/>
      <name val="Arial"/>
      <family val="2"/>
    </font>
    <font>
      <b/>
      <sz val="9"/>
      <color indexed="1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"/>
      <name val="Arial"/>
      <family val="2"/>
    </font>
    <font>
      <sz val="9"/>
      <color indexed="16"/>
      <name val="Arial"/>
      <family val="2"/>
    </font>
    <font>
      <sz val="10"/>
      <color indexed="10"/>
      <name val="Presidencia Fina"/>
      <family val="3"/>
    </font>
    <font>
      <b/>
      <sz val="12"/>
      <color indexed="10"/>
      <name val="Presidencia Fina"/>
      <family val="3"/>
    </font>
    <font>
      <sz val="10"/>
      <color indexed="18"/>
      <name val="Presidencia Fina"/>
      <family val="3"/>
    </font>
    <font>
      <sz val="10"/>
      <name val="Presidencia Fina"/>
      <family val="3"/>
    </font>
    <font>
      <sz val="10"/>
      <color indexed="16"/>
      <name val="Presidencia Fina"/>
      <family val="3"/>
    </font>
    <font>
      <b/>
      <sz val="8"/>
      <color indexed="16"/>
      <name val="Presidencia Fina"/>
      <family val="3"/>
    </font>
    <font>
      <b/>
      <sz val="7"/>
      <color indexed="16"/>
      <name val="Presidencia Fina"/>
      <family val="3"/>
    </font>
    <font>
      <sz val="7"/>
      <color indexed="16"/>
      <name val="Presidencia Fina"/>
      <family val="3"/>
    </font>
    <font>
      <b/>
      <sz val="12"/>
      <color indexed="16"/>
      <name val="Presidencia Fina"/>
      <family val="3"/>
    </font>
    <font>
      <sz val="12"/>
      <color indexed="16"/>
      <name val="Presidencia Fina"/>
      <family val="3"/>
    </font>
    <font>
      <b/>
      <sz val="10"/>
      <color indexed="16"/>
      <name val="Presidencia Fina"/>
      <family val="3"/>
    </font>
    <font>
      <b/>
      <vertAlign val="superscript"/>
      <sz val="10"/>
      <color indexed="16"/>
      <name val="Presidencia Fina"/>
      <family val="3"/>
    </font>
    <font>
      <b/>
      <sz val="18"/>
      <color indexed="16"/>
      <name val="Presidencia Firme"/>
      <family val="3"/>
    </font>
    <font>
      <b/>
      <sz val="9"/>
      <color indexed="16"/>
      <name val="Presidencia Fina"/>
      <family val="3"/>
    </font>
    <font>
      <sz val="9"/>
      <color indexed="16"/>
      <name val="Presidencia Fina"/>
      <family val="3"/>
    </font>
    <font>
      <b/>
      <sz val="11"/>
      <color indexed="18"/>
      <name val="Presidencia Fina"/>
      <family val="3"/>
    </font>
    <font>
      <sz val="7"/>
      <name val="Presidencia Fina"/>
      <family val="3"/>
    </font>
    <font>
      <b/>
      <sz val="7"/>
      <name val="Presidencia Fina"/>
      <family val="3"/>
    </font>
    <font>
      <b/>
      <sz val="12"/>
      <color indexed="18"/>
      <name val="Presidencia Fina"/>
      <family val="3"/>
    </font>
    <font>
      <sz val="7"/>
      <color indexed="8"/>
      <name val="Presidencia Fina"/>
      <family val="3"/>
    </font>
    <font>
      <sz val="8"/>
      <name val="Presidencia Fina"/>
      <family val="3"/>
    </font>
    <font>
      <b/>
      <sz val="18"/>
      <color indexed="18"/>
      <name val="Presidencia Fina"/>
      <family val="3"/>
    </font>
    <font>
      <b/>
      <sz val="8"/>
      <color indexed="9"/>
      <name val="Presidencia Fina"/>
      <family val="3"/>
    </font>
    <font>
      <b/>
      <sz val="8"/>
      <color indexed="18"/>
      <name val="Presidencia Fina"/>
      <family val="3"/>
    </font>
    <font>
      <b/>
      <sz val="8"/>
      <color indexed="58"/>
      <name val="Presidencia Fina"/>
      <family val="3"/>
    </font>
    <font>
      <sz val="7"/>
      <color indexed="18"/>
      <name val="Presidencia Fina"/>
      <family val="3"/>
    </font>
    <font>
      <b/>
      <sz val="7"/>
      <color indexed="18"/>
      <name val="Presidencia Fina"/>
      <family val="3"/>
    </font>
    <font>
      <b/>
      <sz val="7"/>
      <color indexed="58"/>
      <name val="Presidencia Fina"/>
      <family val="3"/>
    </font>
    <font>
      <sz val="10"/>
      <color indexed="58"/>
      <name val="Presidencia Fina"/>
      <family val="3"/>
    </font>
    <font>
      <b/>
      <sz val="8"/>
      <name val="Presidencia Fina"/>
      <family val="3"/>
    </font>
    <font>
      <b/>
      <sz val="10"/>
      <name val="Presidencia Fina"/>
      <family val="3"/>
    </font>
    <font>
      <sz val="7"/>
      <color indexed="58"/>
      <name val="Presidencia Fina"/>
      <family val="3"/>
    </font>
    <font>
      <sz val="9"/>
      <name val="Presidencia Fina"/>
      <family val="3"/>
    </font>
    <font>
      <b/>
      <sz val="9"/>
      <name val="Presidencia Fina"/>
      <family val="3"/>
    </font>
    <font>
      <sz val="10"/>
      <color indexed="59"/>
      <name val="Presidencia Fina"/>
      <family val="3"/>
    </font>
    <font>
      <b/>
      <sz val="9"/>
      <color indexed="58"/>
      <name val="Presidencia Fina"/>
      <family val="3"/>
    </font>
    <font>
      <b/>
      <sz val="12"/>
      <color indexed="60"/>
      <name val="Presidencia Fina"/>
      <family val="3"/>
    </font>
    <font>
      <sz val="12"/>
      <color indexed="18"/>
      <name val="Presidencia Fina"/>
      <family val="3"/>
    </font>
    <font>
      <b/>
      <sz val="6.5"/>
      <name val="Presidencia Fina"/>
      <family val="3"/>
    </font>
    <font>
      <b/>
      <i/>
      <sz val="10"/>
      <color indexed="16"/>
      <name val="Arial"/>
      <family val="2"/>
    </font>
    <font>
      <sz val="11"/>
      <color theme="1"/>
      <name val="Calibri"/>
      <family val="2"/>
      <scheme val="minor"/>
    </font>
    <font>
      <b/>
      <sz val="7"/>
      <color rgb="FF800000"/>
      <name val="Presidencia Fina"/>
      <family val="3"/>
    </font>
    <font>
      <sz val="10"/>
      <color theme="0"/>
      <name val="Presidencia Fina"/>
      <family val="3"/>
    </font>
    <font>
      <b/>
      <sz val="10"/>
      <color theme="0"/>
      <name val="Presidencia Fina"/>
      <family val="3"/>
    </font>
    <font>
      <sz val="18"/>
      <name val="Arial"/>
      <family val="2"/>
    </font>
    <font>
      <b/>
      <sz val="11"/>
      <color theme="0"/>
      <name val="Presidencia Fina"/>
      <family val="3"/>
    </font>
    <font>
      <b/>
      <sz val="10"/>
      <color rgb="FF663300"/>
      <name val="Presidencia Fina"/>
      <family val="3"/>
    </font>
    <font>
      <sz val="10"/>
      <color rgb="FF663300"/>
      <name val="Presidencia Fina"/>
      <family val="3"/>
    </font>
    <font>
      <b/>
      <sz val="7"/>
      <color rgb="FF663300"/>
      <name val="Presidencia Fina"/>
      <family val="3"/>
    </font>
    <font>
      <sz val="7"/>
      <color rgb="FF663300"/>
      <name val="Presidencia Fina"/>
      <family val="3"/>
    </font>
    <font>
      <b/>
      <sz val="12"/>
      <color theme="0"/>
      <name val="Presidencia Fina"/>
      <family val="3"/>
    </font>
    <font>
      <b/>
      <sz val="14"/>
      <color rgb="FF663300"/>
      <name val="Presidencia Firme"/>
      <family val="3"/>
    </font>
    <font>
      <b/>
      <sz val="16"/>
      <color theme="0"/>
      <name val="Presidencia Fina"/>
      <family val="3"/>
    </font>
    <font>
      <b/>
      <sz val="18"/>
      <color theme="0"/>
      <name val="Presidencia Fina"/>
      <family val="3"/>
    </font>
    <font>
      <b/>
      <vertAlign val="superscript"/>
      <sz val="12"/>
      <color theme="0"/>
      <name val="Presidencia Fina"/>
      <family val="3"/>
    </font>
    <font>
      <b/>
      <sz val="12"/>
      <name val="Presidencia Fina"/>
      <family val="3"/>
    </font>
    <font>
      <sz val="12"/>
      <name val="Presidencia Fina"/>
      <family val="3"/>
    </font>
    <font>
      <sz val="10"/>
      <color rgb="FF333300"/>
      <name val="Presidencia Fina"/>
      <family val="3"/>
    </font>
    <font>
      <sz val="10"/>
      <color rgb="FF333300"/>
      <name val="Presidencia Base"/>
      <family val="3"/>
    </font>
    <font>
      <b/>
      <sz val="10"/>
      <color rgb="FF333300"/>
      <name val="Presidencia Fina"/>
      <family val="3"/>
    </font>
    <font>
      <b/>
      <sz val="12"/>
      <color rgb="FF333300"/>
      <name val="Presidencia Fina"/>
      <family val="3"/>
    </font>
    <font>
      <b/>
      <sz val="7"/>
      <color rgb="FF333300"/>
      <name val="Presidencia Fina"/>
      <family val="3"/>
    </font>
    <font>
      <sz val="7"/>
      <color rgb="FF333300"/>
      <name val="Presidencia Fina"/>
      <family val="3"/>
    </font>
    <font>
      <sz val="12"/>
      <color rgb="FF333300"/>
      <name val="Arial"/>
      <family val="2"/>
    </font>
    <font>
      <sz val="10"/>
      <color rgb="FF333300"/>
      <name val="Arial"/>
      <family val="2"/>
    </font>
    <font>
      <b/>
      <vertAlign val="superscript"/>
      <sz val="10"/>
      <color rgb="FF333300"/>
      <name val="Presidencia Fina"/>
      <family val="3"/>
    </font>
    <font>
      <vertAlign val="superscript"/>
      <sz val="10"/>
      <color rgb="FF333300"/>
      <name val="Presidencia Fina"/>
      <family val="3"/>
    </font>
    <font>
      <sz val="8"/>
      <color rgb="FF333300"/>
      <name val="Presidencia Fina"/>
      <family val="3"/>
    </font>
    <font>
      <sz val="10"/>
      <color rgb="FF002060"/>
      <name val="Presidencia Fina"/>
      <family val="3"/>
    </font>
    <font>
      <sz val="7"/>
      <color rgb="FF002060"/>
      <name val="Presidencia Fina"/>
      <family val="3"/>
    </font>
    <font>
      <b/>
      <sz val="7"/>
      <color rgb="FF002060"/>
      <name val="Presidencia Fina"/>
      <family val="3"/>
    </font>
    <font>
      <sz val="7"/>
      <color theme="6" tint="-0.499984740745262"/>
      <name val="Presidencia Fina"/>
      <family val="3"/>
    </font>
    <font>
      <b/>
      <sz val="7"/>
      <color theme="6" tint="-0.499984740745262"/>
      <name val="Presidencia Fina"/>
      <family val="3"/>
    </font>
    <font>
      <sz val="7"/>
      <color rgb="FF003300"/>
      <name val="Presidencia Fina"/>
      <family val="3"/>
    </font>
    <font>
      <b/>
      <sz val="7"/>
      <color rgb="FF003300"/>
      <name val="Presidencia Fina"/>
      <family val="3"/>
    </font>
    <font>
      <sz val="10"/>
      <color rgb="FF003300"/>
      <name val="Arial"/>
      <family val="2"/>
    </font>
    <font>
      <b/>
      <sz val="9"/>
      <color rgb="FF003300"/>
      <name val="Century Gothic"/>
      <family val="2"/>
    </font>
    <font>
      <b/>
      <sz val="10"/>
      <color rgb="FF003300"/>
      <name val="Arial"/>
      <family val="2"/>
    </font>
    <font>
      <b/>
      <vertAlign val="superscript"/>
      <sz val="12"/>
      <color indexed="16"/>
      <name val="Presidencia Fina"/>
      <family val="3"/>
    </font>
    <font>
      <b/>
      <sz val="7"/>
      <color rgb="FF000080"/>
      <name val="Presidencia Fina"/>
      <family val="3"/>
    </font>
    <font>
      <b/>
      <sz val="7"/>
      <color rgb="FF006600"/>
      <name val="Presidencia Fina"/>
      <family val="3"/>
    </font>
    <font>
      <b/>
      <sz val="14"/>
      <color indexed="18"/>
      <name val="Presidencia Fina"/>
      <family val="3"/>
    </font>
    <font>
      <sz val="10"/>
      <name val="Courier"/>
      <family val="3"/>
    </font>
    <font>
      <sz val="11"/>
      <color theme="1"/>
      <name val="Presidencia Fina"/>
      <family val="3"/>
    </font>
    <font>
      <sz val="7"/>
      <color rgb="FF000099"/>
      <name val="Presidencia Fina"/>
      <family val="3"/>
    </font>
    <font>
      <sz val="10"/>
      <color rgb="FF000099"/>
      <name val="Presidencia Fina"/>
      <family val="3"/>
    </font>
    <font>
      <b/>
      <sz val="9"/>
      <color rgb="FF002060"/>
      <name val="Presidencia Fina"/>
      <family val="3"/>
    </font>
    <font>
      <b/>
      <sz val="11"/>
      <name val="Presidencia Fina"/>
      <family val="3"/>
    </font>
    <font>
      <sz val="11"/>
      <name val="Presidencia Fina"/>
      <family val="3"/>
    </font>
    <font>
      <b/>
      <sz val="11"/>
      <color rgb="FF800000"/>
      <name val="Presidencia Fina"/>
      <family val="3"/>
    </font>
    <font>
      <sz val="10"/>
      <color rgb="FF800000"/>
      <name val="Presidencia Fina"/>
      <family val="3"/>
    </font>
    <font>
      <sz val="7"/>
      <color theme="3" tint="-0.499984740745262"/>
      <name val="Presidencia Fina"/>
      <family val="3"/>
    </font>
    <font>
      <sz val="12"/>
      <color theme="9" tint="-0.499984740745262"/>
      <name val="Presidencia Fuerte"/>
      <family val="3"/>
    </font>
    <font>
      <sz val="11"/>
      <color theme="6" tint="-0.499984740745262"/>
      <name val="Presidencia Fina"/>
      <family val="3"/>
    </font>
    <font>
      <b/>
      <sz val="11"/>
      <color indexed="60"/>
      <name val="Presidencia Fina"/>
      <family val="3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vertAlign val="superscript"/>
      <sz val="5"/>
      <color indexed="9"/>
      <name val="Arial"/>
      <family val="2"/>
    </font>
    <font>
      <b/>
      <sz val="7.5"/>
      <name val="Century Gothic"/>
      <family val="2"/>
    </font>
    <font>
      <sz val="7.5"/>
      <name val="Century Gothic"/>
      <family val="2"/>
    </font>
    <font>
      <b/>
      <sz val="8"/>
      <color theme="1"/>
      <name val="Presidencia Fina"/>
      <family val="3"/>
    </font>
    <font>
      <b/>
      <sz val="7"/>
      <color rgb="FF87542D"/>
      <name val="Presidencia Fina"/>
      <family val="3"/>
    </font>
    <font>
      <b/>
      <sz val="7"/>
      <color rgb="FF774927"/>
      <name val="Presidencia Fina"/>
      <family val="3"/>
    </font>
    <font>
      <sz val="7"/>
      <color rgb="FF774927"/>
      <name val="Presidencia Fina"/>
      <family val="3"/>
    </font>
    <font>
      <b/>
      <sz val="8"/>
      <color indexed="8"/>
      <name val="Presidencia Fina"/>
      <family val="3"/>
    </font>
    <font>
      <sz val="8"/>
      <color indexed="8"/>
      <name val="Presidencia Fina"/>
      <family val="3"/>
    </font>
    <font>
      <sz val="7"/>
      <color indexed="9"/>
      <name val="Presidencia Fina"/>
      <family val="3"/>
    </font>
    <font>
      <sz val="10"/>
      <name val="Helv"/>
    </font>
    <font>
      <b/>
      <sz val="20"/>
      <color indexed="18"/>
      <name val="Presidencia Fina"/>
      <family val="3"/>
    </font>
    <font>
      <b/>
      <sz val="24"/>
      <color indexed="18"/>
      <name val="Presidencia Fina"/>
      <family val="3"/>
    </font>
    <font>
      <b/>
      <sz val="10"/>
      <color indexed="18"/>
      <name val="Presidencia Fina"/>
      <family val="3"/>
    </font>
    <font>
      <b/>
      <sz val="20"/>
      <color indexed="17"/>
      <name val="Presidencia Fina"/>
      <family val="3"/>
    </font>
    <font>
      <sz val="23"/>
      <color indexed="58"/>
      <name val="Presidencia Fina"/>
      <family val="3"/>
    </font>
    <font>
      <sz val="6"/>
      <name val="Presidencia Fina"/>
      <family val="3"/>
    </font>
    <font>
      <sz val="6"/>
      <color indexed="9"/>
      <name val="Presidencia Fina"/>
      <family val="3"/>
    </font>
    <font>
      <sz val="4"/>
      <color indexed="9"/>
      <name val="Presidencia Fina"/>
      <family val="3"/>
    </font>
    <font>
      <sz val="5.5"/>
      <name val="Presidencia Fina"/>
      <family val="3"/>
    </font>
    <font>
      <sz val="6"/>
      <color rgb="FF006600"/>
      <name val="Presidencia Fina"/>
      <family val="3"/>
    </font>
    <font>
      <b/>
      <sz val="6"/>
      <name val="Presidencia Fina"/>
      <family val="3"/>
    </font>
    <font>
      <b/>
      <sz val="14"/>
      <color theme="0"/>
      <name val="Presidencia Fina"/>
      <family val="3"/>
    </font>
    <font>
      <b/>
      <vertAlign val="superscript"/>
      <sz val="10"/>
      <name val="Presidencia Fina"/>
      <family val="3"/>
    </font>
    <font>
      <b/>
      <sz val="10"/>
      <name val="Presidencia Base"/>
      <family val="3"/>
    </font>
    <font>
      <sz val="14"/>
      <name val="Arial"/>
      <family val="2"/>
    </font>
    <font>
      <sz val="16"/>
      <name val="Arial"/>
      <family val="2"/>
    </font>
    <font>
      <sz val="12"/>
      <name val="Presidencia Firme"/>
      <family val="3"/>
    </font>
    <font>
      <b/>
      <sz val="7"/>
      <name val="Arial"/>
      <family val="2"/>
    </font>
    <font>
      <sz val="16"/>
      <name val="Presidencia Fina"/>
      <family val="3"/>
    </font>
    <font>
      <b/>
      <sz val="7"/>
      <color theme="4" tint="-0.499984740745262"/>
      <name val="Presidencia Fina"/>
      <family val="3"/>
    </font>
    <font>
      <b/>
      <sz val="7"/>
      <color indexed="8"/>
      <name val="Presidencia Fina"/>
      <family val="3"/>
    </font>
    <font>
      <b/>
      <sz val="7"/>
      <color theme="3" tint="-0.499984740745262"/>
      <name val="Presidencia Fina"/>
      <family val="3"/>
    </font>
    <font>
      <b/>
      <sz val="7"/>
      <name val="Presidencia Firme"/>
      <family val="3"/>
    </font>
    <font>
      <b/>
      <vertAlign val="superscript"/>
      <sz val="12"/>
      <color rgb="FF333300"/>
      <name val="Presidencia Fina"/>
      <family val="3"/>
    </font>
    <font>
      <sz val="10"/>
      <color indexed="8"/>
      <name val="Arial"/>
      <family val="2"/>
    </font>
    <font>
      <b/>
      <sz val="9"/>
      <color theme="0"/>
      <name val="Presidencia Fina"/>
      <family val="3"/>
    </font>
    <font>
      <sz val="7"/>
      <color rgb="FF006600"/>
      <name val="Presidencia Fina"/>
      <family val="3"/>
    </font>
    <font>
      <sz val="9"/>
      <color rgb="FF006600"/>
      <name val="Presidencia Fina"/>
      <family val="3"/>
    </font>
    <font>
      <b/>
      <sz val="9"/>
      <color rgb="FF006600"/>
      <name val="Presidencia Fina"/>
      <family val="3"/>
    </font>
    <font>
      <b/>
      <sz val="10"/>
      <color rgb="FF006600"/>
      <name val="Presidencia Fina"/>
      <family val="3"/>
    </font>
    <font>
      <b/>
      <sz val="13"/>
      <color rgb="FF000099"/>
      <name val="Presidencia Fina"/>
      <family val="3"/>
    </font>
    <font>
      <b/>
      <sz val="15"/>
      <color indexed="18"/>
      <name val="Presidencia Fina"/>
      <family val="3"/>
    </font>
    <font>
      <b/>
      <sz val="16"/>
      <color indexed="18"/>
      <name val="Presidencia Fina"/>
      <family val="3"/>
    </font>
    <font>
      <b/>
      <sz val="8"/>
      <color rgb="FF000099"/>
      <name val="Presidencia Fina"/>
      <family val="3"/>
    </font>
    <font>
      <sz val="7"/>
      <name val="Presidencia Firme"/>
      <family val="3"/>
    </font>
    <font>
      <sz val="10"/>
      <name val="Presidencia Firme"/>
      <family val="3"/>
    </font>
    <font>
      <sz val="12"/>
      <color theme="0"/>
      <name val="Presidencia Firme"/>
      <family val="3"/>
    </font>
    <font>
      <b/>
      <vertAlign val="superscript"/>
      <sz val="7"/>
      <color rgb="FF663300"/>
      <name val="Presidencia Fina"/>
      <family val="3"/>
    </font>
    <font>
      <b/>
      <vertAlign val="superscript"/>
      <sz val="10"/>
      <color rgb="FF663300"/>
      <name val="Presidencia Fina"/>
      <family val="3"/>
    </font>
    <font>
      <b/>
      <vertAlign val="superscript"/>
      <sz val="12"/>
      <color rgb="FF774927"/>
      <name val="Presidencia Fina"/>
      <family val="3"/>
    </font>
    <font>
      <b/>
      <vertAlign val="superscript"/>
      <sz val="12"/>
      <color rgb="FF663300"/>
      <name val="Presidencia Fina"/>
      <family val="3"/>
    </font>
    <font>
      <vertAlign val="superscript"/>
      <sz val="12"/>
      <color rgb="FF663300"/>
      <name val="Presidencia Fina"/>
      <family val="3"/>
    </font>
    <font>
      <b/>
      <vertAlign val="superscript"/>
      <sz val="12"/>
      <name val="Presidencia Fina"/>
      <family val="3"/>
    </font>
    <font>
      <b/>
      <vertAlign val="superscript"/>
      <sz val="12"/>
      <color indexed="18"/>
      <name val="Presidencia Fina"/>
      <family val="3"/>
    </font>
    <font>
      <vertAlign val="superscript"/>
      <sz val="12"/>
      <color rgb="FF333300"/>
      <name val="Presidencia Fina"/>
      <family val="3"/>
    </font>
    <font>
      <b/>
      <vertAlign val="superscript"/>
      <sz val="12"/>
      <color indexed="9"/>
      <name val="Presidencia Fina"/>
      <family val="3"/>
    </font>
    <font>
      <sz val="23"/>
      <color theme="0"/>
      <name val="Presidencia Fina"/>
      <family val="3"/>
    </font>
    <font>
      <b/>
      <sz val="24"/>
      <color theme="0"/>
      <name val="Presidencia Fina"/>
      <family val="3"/>
    </font>
    <font>
      <b/>
      <vertAlign val="superscript"/>
      <sz val="10"/>
      <name val="Arial"/>
      <family val="2"/>
    </font>
    <font>
      <sz val="12"/>
      <color theme="0"/>
      <name val="Presidencia Fina"/>
      <family val="3"/>
    </font>
    <font>
      <sz val="10"/>
      <color rgb="FFFF0000"/>
      <name val="Presidencia Fina"/>
      <family val="3"/>
    </font>
    <font>
      <sz val="10"/>
      <color theme="0"/>
      <name val="Arial"/>
      <family val="2"/>
    </font>
    <font>
      <b/>
      <sz val="8"/>
      <color theme="0"/>
      <name val="Presidencia Fina"/>
      <family val="3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Presidencia Fina"/>
      <family val="3"/>
    </font>
    <font>
      <sz val="11"/>
      <color theme="0"/>
      <name val="Presidencia Fina"/>
      <family val="3"/>
    </font>
    <font>
      <sz val="9"/>
      <color theme="0"/>
      <name val="Presidencia Fina"/>
      <family val="3"/>
    </font>
    <font>
      <sz val="10"/>
      <color theme="0"/>
      <name val="Cambria"/>
      <family val="1"/>
    </font>
    <font>
      <b/>
      <sz val="10"/>
      <color theme="0"/>
      <name val="Cambria"/>
      <family val="1"/>
    </font>
    <font>
      <sz val="9"/>
      <color theme="0"/>
      <name val="Cambria"/>
      <family val="1"/>
    </font>
    <font>
      <sz val="7"/>
      <color theme="0"/>
      <name val="Cambria"/>
      <family val="1"/>
    </font>
    <font>
      <b/>
      <sz val="7"/>
      <color theme="0"/>
      <name val="Cambria"/>
      <family val="1"/>
    </font>
  </fonts>
  <fills count="7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EDD8A"/>
        <bgColor indexed="64"/>
      </patternFill>
    </fill>
    <fill>
      <patternFill patternType="solid">
        <fgColor rgb="FFFEEAB8"/>
        <bgColor indexed="64"/>
      </patternFill>
    </fill>
    <fill>
      <patternFill patternType="solid">
        <fgColor rgb="FFE3965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8EA86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6" tint="0.59999389629810485"/>
        <bgColor indexed="8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13343D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07731"/>
        <bgColor indexed="64"/>
      </patternFill>
    </fill>
    <fill>
      <patternFill patternType="solid">
        <fgColor rgb="FF467AB8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D8C57E"/>
        <bgColor indexed="64"/>
      </patternFill>
    </fill>
    <fill>
      <patternFill patternType="solid">
        <fgColor rgb="FFDFCF95"/>
        <bgColor indexed="64"/>
      </patternFill>
    </fill>
    <fill>
      <patternFill patternType="solid">
        <fgColor rgb="FFE7DBAF"/>
        <bgColor indexed="64"/>
      </patternFill>
    </fill>
    <fill>
      <patternFill patternType="solid">
        <fgColor rgb="FFCBA977"/>
        <bgColor indexed="64"/>
      </patternFill>
    </fill>
    <fill>
      <patternFill patternType="solid">
        <fgColor rgb="FFFDC63D"/>
        <bgColor indexed="64"/>
      </patternFill>
    </fill>
    <fill>
      <patternFill patternType="solid">
        <fgColor theme="0"/>
        <bgColor indexed="24"/>
      </patternFill>
    </fill>
  </fills>
  <borders count="2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9"/>
      </left>
      <right style="thin">
        <color indexed="9"/>
      </right>
      <top style="double">
        <color indexed="9"/>
      </top>
      <bottom style="double">
        <color indexed="9"/>
      </bottom>
      <diagonal/>
    </border>
    <border>
      <left style="thin">
        <color indexed="9"/>
      </left>
      <right style="thin">
        <color indexed="9"/>
      </right>
      <top style="double">
        <color indexed="9"/>
      </top>
      <bottom style="double">
        <color indexed="9"/>
      </bottom>
      <diagonal/>
    </border>
    <border>
      <left style="thin">
        <color indexed="9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17"/>
      </left>
      <right style="double">
        <color indexed="17"/>
      </right>
      <top style="thin">
        <color indexed="17"/>
      </top>
      <bottom style="double">
        <color indexed="17"/>
      </bottom>
      <diagonal/>
    </border>
    <border>
      <left/>
      <right style="thin">
        <color indexed="17"/>
      </right>
      <top style="thin">
        <color indexed="17"/>
      </top>
      <bottom style="double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double">
        <color indexed="17"/>
      </bottom>
      <diagonal/>
    </border>
    <border>
      <left style="medium">
        <color indexed="17"/>
      </left>
      <right style="thin">
        <color indexed="17"/>
      </right>
      <top style="double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double">
        <color indexed="17"/>
      </top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double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double">
        <color indexed="17"/>
      </top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thin">
        <color indexed="17"/>
      </top>
      <bottom style="double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double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double">
        <color indexed="17"/>
      </bottom>
      <diagonal/>
    </border>
    <border>
      <left style="thick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double">
        <color indexed="17"/>
      </right>
      <top/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double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double">
        <color indexed="17"/>
      </top>
      <bottom style="medium">
        <color indexed="17"/>
      </bottom>
      <diagonal/>
    </border>
    <border>
      <left style="thin">
        <color indexed="17"/>
      </left>
      <right style="double">
        <color indexed="17"/>
      </right>
      <top style="double">
        <color indexed="17"/>
      </top>
      <bottom style="medium">
        <color indexed="17"/>
      </bottom>
      <diagonal/>
    </border>
    <border>
      <left style="thin">
        <color indexed="17"/>
      </left>
      <right/>
      <top style="double">
        <color indexed="17"/>
      </top>
      <bottom style="thin">
        <color indexed="17"/>
      </bottom>
      <diagonal/>
    </border>
    <border>
      <left style="thin">
        <color indexed="17"/>
      </left>
      <right style="thick">
        <color indexed="17"/>
      </right>
      <top style="thin">
        <color indexed="17"/>
      </top>
      <bottom style="double">
        <color indexed="17"/>
      </bottom>
      <diagonal/>
    </border>
    <border>
      <left style="thick">
        <color indexed="17"/>
      </left>
      <right style="thin">
        <color indexed="17"/>
      </right>
      <top style="double">
        <color indexed="17"/>
      </top>
      <bottom/>
      <diagonal/>
    </border>
    <border>
      <left style="thin">
        <color indexed="17"/>
      </left>
      <right style="thin">
        <color indexed="17"/>
      </right>
      <top style="double">
        <color indexed="17"/>
      </top>
      <bottom/>
      <diagonal/>
    </border>
    <border>
      <left style="thick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ck">
        <color indexed="17"/>
      </right>
      <top style="double">
        <color indexed="17"/>
      </top>
      <bottom/>
      <diagonal/>
    </border>
    <border>
      <left style="thin">
        <color indexed="17"/>
      </left>
      <right style="thick">
        <color indexed="17"/>
      </right>
      <top style="medium">
        <color indexed="17"/>
      </top>
      <bottom style="thin">
        <color indexed="17"/>
      </bottom>
      <diagonal/>
    </border>
    <border>
      <left style="double">
        <color indexed="62"/>
      </left>
      <right/>
      <top style="double">
        <color indexed="62"/>
      </top>
      <bottom style="thin">
        <color indexed="62"/>
      </bottom>
      <diagonal/>
    </border>
    <border>
      <left style="double">
        <color indexed="9"/>
      </left>
      <right/>
      <top style="double">
        <color indexed="9"/>
      </top>
      <bottom style="double">
        <color indexed="9"/>
      </bottom>
      <diagonal/>
    </border>
    <border>
      <left/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thin">
        <color indexed="17"/>
      </left>
      <right style="double">
        <color indexed="17"/>
      </right>
      <top style="double">
        <color indexed="17"/>
      </top>
      <bottom style="thin">
        <color indexed="17"/>
      </bottom>
      <diagonal/>
    </border>
    <border>
      <left style="double">
        <color indexed="17"/>
      </left>
      <right/>
      <top/>
      <bottom style="double">
        <color indexed="17"/>
      </bottom>
      <diagonal/>
    </border>
    <border>
      <left style="thin">
        <color indexed="17"/>
      </left>
      <right style="double">
        <color indexed="17"/>
      </right>
      <top style="thin">
        <color indexed="17"/>
      </top>
      <bottom style="thin">
        <color indexed="17"/>
      </bottom>
      <diagonal/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double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  <diagonal/>
    </border>
    <border>
      <left style="thin">
        <color indexed="62"/>
      </left>
      <right style="double">
        <color indexed="62"/>
      </right>
      <top style="double">
        <color indexed="62"/>
      </top>
      <bottom style="thin">
        <color indexed="62"/>
      </bottom>
      <diagonal/>
    </border>
    <border>
      <left style="thin">
        <color indexed="62"/>
      </left>
      <right style="double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/>
      <right style="double">
        <color indexed="62"/>
      </right>
      <top style="double">
        <color indexed="62"/>
      </top>
      <bottom style="thin">
        <color indexed="62"/>
      </bottom>
      <diagonal/>
    </border>
    <border>
      <left/>
      <right style="thin">
        <color indexed="17"/>
      </right>
      <top style="double">
        <color indexed="17"/>
      </top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double">
        <color indexed="17"/>
      </bottom>
      <diagonal/>
    </border>
    <border>
      <left style="thick">
        <color indexed="17"/>
      </left>
      <right style="thin">
        <color indexed="17"/>
      </right>
      <top/>
      <bottom style="double">
        <color indexed="17"/>
      </bottom>
      <diagonal/>
    </border>
    <border>
      <left style="thin">
        <color indexed="17"/>
      </left>
      <right style="thin">
        <color indexed="17"/>
      </right>
      <top/>
      <bottom style="double">
        <color indexed="17"/>
      </bottom>
      <diagonal/>
    </border>
    <border>
      <left style="thin">
        <color indexed="17"/>
      </left>
      <right style="medium">
        <color indexed="17"/>
      </right>
      <top/>
      <bottom style="double">
        <color indexed="17"/>
      </bottom>
      <diagonal/>
    </border>
    <border>
      <left style="medium">
        <color indexed="17"/>
      </left>
      <right style="thin">
        <color indexed="17"/>
      </right>
      <top/>
      <bottom style="double">
        <color indexed="17"/>
      </bottom>
      <diagonal/>
    </border>
    <border>
      <left style="thin">
        <color indexed="17"/>
      </left>
      <right/>
      <top/>
      <bottom style="double">
        <color indexed="17"/>
      </bottom>
      <diagonal/>
    </border>
    <border>
      <left/>
      <right style="thin">
        <color indexed="17"/>
      </right>
      <top/>
      <bottom style="double">
        <color indexed="17"/>
      </bottom>
      <diagonal/>
    </border>
    <border>
      <left style="thin">
        <color indexed="17"/>
      </left>
      <right style="double">
        <color indexed="17"/>
      </right>
      <top/>
      <bottom style="double">
        <color indexed="17"/>
      </bottom>
      <diagonal/>
    </border>
    <border>
      <left style="double">
        <color indexed="17"/>
      </left>
      <right style="thick">
        <color indexed="17"/>
      </right>
      <top style="double">
        <color indexed="17"/>
      </top>
      <bottom style="thin">
        <color indexed="17"/>
      </bottom>
      <diagonal/>
    </border>
    <border>
      <left style="double">
        <color indexed="17"/>
      </left>
      <right style="thick">
        <color indexed="17"/>
      </right>
      <top style="thin">
        <color indexed="17"/>
      </top>
      <bottom style="thin">
        <color indexed="17"/>
      </bottom>
      <diagonal/>
    </border>
    <border>
      <left style="double">
        <color indexed="17"/>
      </left>
      <right style="thick">
        <color indexed="17"/>
      </right>
      <top style="thin">
        <color indexed="17"/>
      </top>
      <bottom style="double">
        <color indexed="17"/>
      </bottom>
      <diagonal/>
    </border>
    <border>
      <left style="double">
        <color indexed="62"/>
      </left>
      <right/>
      <top style="thin">
        <color indexed="62"/>
      </top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 style="double">
        <color indexed="62"/>
      </left>
      <right/>
      <top style="medium">
        <color indexed="62"/>
      </top>
      <bottom style="medium">
        <color indexed="62"/>
      </bottom>
      <diagonal/>
    </border>
    <border>
      <left style="double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double">
        <color indexed="62"/>
      </right>
      <top style="thin">
        <color indexed="62"/>
      </top>
      <bottom/>
      <diagonal/>
    </border>
    <border>
      <left/>
      <right style="double">
        <color indexed="62"/>
      </right>
      <top style="thin">
        <color indexed="62"/>
      </top>
      <bottom/>
      <diagonal/>
    </border>
    <border>
      <left style="double">
        <color indexed="62"/>
      </left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double">
        <color indexed="62"/>
      </right>
      <top style="medium">
        <color indexed="62"/>
      </top>
      <bottom style="medium">
        <color indexed="62"/>
      </bottom>
      <diagonal/>
    </border>
    <border>
      <left/>
      <right style="double">
        <color indexed="62"/>
      </right>
      <top style="medium">
        <color indexed="62"/>
      </top>
      <bottom style="medium">
        <color indexed="62"/>
      </bottom>
      <diagonal/>
    </border>
    <border>
      <left style="double">
        <color indexed="62"/>
      </left>
      <right style="thin">
        <color indexed="62"/>
      </right>
      <top/>
      <bottom style="double">
        <color indexed="62"/>
      </bottom>
      <diagonal/>
    </border>
    <border>
      <left style="thin">
        <color indexed="62"/>
      </left>
      <right style="thin">
        <color indexed="62"/>
      </right>
      <top/>
      <bottom style="double">
        <color indexed="62"/>
      </bottom>
      <diagonal/>
    </border>
    <border>
      <left style="thin">
        <color indexed="62"/>
      </left>
      <right style="double">
        <color indexed="62"/>
      </right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1"/>
      </left>
      <right/>
      <top style="thick">
        <color indexed="21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double">
        <color indexed="17"/>
      </left>
      <right/>
      <top style="double">
        <color indexed="17"/>
      </top>
      <bottom style="thin">
        <color indexed="9"/>
      </bottom>
      <diagonal/>
    </border>
    <border>
      <left style="double">
        <color indexed="17"/>
      </left>
      <right/>
      <top style="thin">
        <color indexed="9"/>
      </top>
      <bottom style="thin">
        <color indexed="9"/>
      </bottom>
      <diagonal/>
    </border>
    <border>
      <left style="double">
        <color indexed="17"/>
      </left>
      <right/>
      <top style="thin">
        <color indexed="9"/>
      </top>
      <bottom style="double">
        <color indexed="17"/>
      </bottom>
      <diagonal/>
    </border>
    <border>
      <left style="medium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medium">
        <color indexed="60"/>
      </right>
      <top style="medium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medium">
        <color indexed="60"/>
      </right>
      <top style="thin">
        <color indexed="60"/>
      </top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thin">
        <color indexed="12"/>
      </left>
      <right style="medium">
        <color indexed="12"/>
      </right>
      <top/>
      <bottom style="medium">
        <color indexed="12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theme="4" tint="-0.499984740745262"/>
      </top>
      <bottom style="medium">
        <color indexed="9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medium">
        <color indexed="9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medium">
        <color indexed="9"/>
      </bottom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indexed="9"/>
      </bottom>
      <diagonal/>
    </border>
    <border>
      <left/>
      <right/>
      <top style="thick">
        <color auto="1"/>
      </top>
      <bottom style="medium">
        <color indexed="9"/>
      </bottom>
      <diagonal/>
    </border>
    <border>
      <left/>
      <right style="thick">
        <color auto="1"/>
      </right>
      <top style="thick">
        <color auto="1"/>
      </top>
      <bottom style="medium">
        <color indexed="9"/>
      </bottom>
      <diagonal/>
    </border>
    <border>
      <left style="double">
        <color indexed="49"/>
      </left>
      <right style="hair">
        <color indexed="43"/>
      </right>
      <top style="double">
        <color indexed="49"/>
      </top>
      <bottom/>
      <diagonal/>
    </border>
    <border>
      <left style="hair">
        <color indexed="43"/>
      </left>
      <right style="hair">
        <color indexed="43"/>
      </right>
      <top style="double">
        <color indexed="49"/>
      </top>
      <bottom style="hair">
        <color indexed="43"/>
      </bottom>
      <diagonal/>
    </border>
    <border>
      <left style="hair">
        <color indexed="43"/>
      </left>
      <right style="double">
        <color indexed="42"/>
      </right>
      <top style="double">
        <color indexed="49"/>
      </top>
      <bottom style="hair">
        <color indexed="43"/>
      </bottom>
      <diagonal/>
    </border>
    <border>
      <left style="double">
        <color indexed="49"/>
      </left>
      <right style="hair">
        <color indexed="43"/>
      </right>
      <top/>
      <bottom/>
      <diagonal/>
    </border>
    <border>
      <left style="hair">
        <color indexed="43"/>
      </left>
      <right style="hair">
        <color indexed="43"/>
      </right>
      <top style="hair">
        <color indexed="43"/>
      </top>
      <bottom style="hair">
        <color indexed="43"/>
      </bottom>
      <diagonal/>
    </border>
    <border>
      <left style="hair">
        <color indexed="43"/>
      </left>
      <right style="double">
        <color indexed="42"/>
      </right>
      <top style="hair">
        <color indexed="43"/>
      </top>
      <bottom style="hair">
        <color indexed="43"/>
      </bottom>
      <diagonal/>
    </border>
    <border>
      <left style="double">
        <color indexed="49"/>
      </left>
      <right style="hair">
        <color indexed="43"/>
      </right>
      <top/>
      <bottom style="double">
        <color indexed="42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double">
        <color indexed="42"/>
      </bottom>
      <diagonal/>
    </border>
    <border>
      <left style="hair">
        <color indexed="43"/>
      </left>
      <right style="double">
        <color indexed="42"/>
      </right>
      <top style="hair">
        <color indexed="43"/>
      </top>
      <bottom style="double">
        <color indexed="42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8" tint="-0.499984740745262"/>
      </left>
      <right/>
      <top/>
      <bottom style="medium">
        <color indexed="9"/>
      </bottom>
      <diagonal/>
    </border>
    <border>
      <left/>
      <right style="thick">
        <color theme="8" tint="-0.499984740745262"/>
      </right>
      <top/>
      <bottom style="medium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theme="0"/>
      </bottom>
      <diagonal/>
    </border>
    <border>
      <left style="medium">
        <color indexed="9"/>
      </left>
      <right style="medium">
        <color indexed="9"/>
      </right>
      <top/>
      <bottom style="medium">
        <color theme="0"/>
      </bottom>
      <diagonal/>
    </border>
    <border>
      <left style="thin">
        <color indexed="64"/>
      </left>
      <right style="medium">
        <color indexed="9"/>
      </right>
      <top/>
      <bottom style="thin">
        <color indexed="64"/>
      </bottom>
      <diagonal/>
    </border>
    <border>
      <left style="thin">
        <color indexed="64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9"/>
      </left>
      <right/>
      <top/>
      <bottom/>
      <diagonal/>
    </border>
    <border>
      <left/>
      <right style="medium">
        <color theme="0"/>
      </right>
      <top/>
      <bottom style="medium">
        <color indexed="9"/>
      </bottom>
      <diagonal/>
    </border>
    <border>
      <left/>
      <right style="medium">
        <color theme="0"/>
      </right>
      <top style="medium">
        <color indexed="9"/>
      </top>
      <bottom style="medium">
        <color indexed="9"/>
      </bottom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</borders>
  <cellStyleXfs count="35">
    <xf numFmtId="0" fontId="0" fillId="0" borderId="0"/>
    <xf numFmtId="175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106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169" fontId="14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9" fillId="0" borderId="0"/>
    <xf numFmtId="172" fontId="176" fillId="0" borderId="0"/>
    <xf numFmtId="9" fontId="39" fillId="0" borderId="0" applyFont="0" applyFill="0" applyBorder="0" applyAlignment="0" applyProtection="0"/>
    <xf numFmtId="9" fontId="201" fillId="0" borderId="0" applyFont="0" applyFill="0" applyBorder="0" applyAlignment="0" applyProtection="0"/>
    <xf numFmtId="169" fontId="201" fillId="0" borderId="0" applyFont="0" applyFill="0" applyBorder="0" applyAlignment="0" applyProtection="0"/>
    <xf numFmtId="0" fontId="1" fillId="0" borderId="0"/>
  </cellStyleXfs>
  <cellXfs count="1463">
    <xf numFmtId="0" fontId="0" fillId="0" borderId="0" xfId="0"/>
    <xf numFmtId="0" fontId="4" fillId="0" borderId="0" xfId="0" applyFont="1" applyAlignment="1">
      <alignment wrapText="1"/>
    </xf>
    <xf numFmtId="9" fontId="0" fillId="0" borderId="0" xfId="10" applyFont="1"/>
    <xf numFmtId="165" fontId="0" fillId="0" borderId="0" xfId="2" applyNumberFormat="1" applyFont="1"/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17" fillId="0" borderId="0" xfId="0" applyFont="1"/>
    <xf numFmtId="165" fontId="20" fillId="0" borderId="0" xfId="2" applyNumberFormat="1" applyFont="1"/>
    <xf numFmtId="0" fontId="0" fillId="0" borderId="0" xfId="0" applyBorder="1"/>
    <xf numFmtId="165" fontId="21" fillId="0" borderId="0" xfId="2" applyNumberFormat="1" applyFont="1" applyFill="1" applyBorder="1" applyAlignment="1">
      <alignment horizontal="center" vertical="center"/>
    </xf>
    <xf numFmtId="165" fontId="0" fillId="0" borderId="0" xfId="2" applyNumberFormat="1" applyFont="1" applyBorder="1"/>
    <xf numFmtId="165" fontId="20" fillId="0" borderId="0" xfId="2" applyNumberFormat="1" applyFont="1" applyFill="1" applyBorder="1" applyAlignment="1">
      <alignment horizontal="center" vertical="center"/>
    </xf>
    <xf numFmtId="166" fontId="0" fillId="0" borderId="0" xfId="0" applyNumberFormat="1"/>
    <xf numFmtId="0" fontId="23" fillId="0" borderId="0" xfId="0" applyFont="1"/>
    <xf numFmtId="0" fontId="0" fillId="0" borderId="0" xfId="0" applyFill="1"/>
    <xf numFmtId="0" fontId="13" fillId="0" borderId="0" xfId="0" applyFont="1" applyAlignment="1">
      <alignment horizontal="left" vertical="center"/>
    </xf>
    <xf numFmtId="168" fontId="0" fillId="0" borderId="0" xfId="10" applyNumberFormat="1" applyFont="1"/>
    <xf numFmtId="164" fontId="0" fillId="0" borderId="0" xfId="2" applyNumberFormat="1" applyFont="1"/>
    <xf numFmtId="0" fontId="6" fillId="0" borderId="0" xfId="0" applyFont="1" applyBorder="1"/>
    <xf numFmtId="0" fontId="9" fillId="0" borderId="0" xfId="0" applyFont="1"/>
    <xf numFmtId="0" fontId="24" fillId="0" borderId="0" xfId="0" applyFont="1"/>
    <xf numFmtId="165" fontId="24" fillId="0" borderId="0" xfId="2" applyNumberFormat="1" applyFont="1"/>
    <xf numFmtId="3" fontId="0" fillId="0" borderId="0" xfId="0" applyNumberFormat="1"/>
    <xf numFmtId="43" fontId="0" fillId="0" borderId="0" xfId="0" applyNumberFormat="1"/>
    <xf numFmtId="0" fontId="22" fillId="0" borderId="0" xfId="0" applyFont="1" applyAlignment="1"/>
    <xf numFmtId="0" fontId="17" fillId="0" borderId="0" xfId="0" applyFont="1" applyAlignment="1"/>
    <xf numFmtId="165" fontId="17" fillId="0" borderId="0" xfId="2" applyNumberFormat="1" applyFont="1" applyBorder="1"/>
    <xf numFmtId="0" fontId="13" fillId="0" borderId="0" xfId="0" applyFont="1" applyAlignment="1">
      <alignment horizontal="left"/>
    </xf>
    <xf numFmtId="0" fontId="13" fillId="0" borderId="0" xfId="0" applyFont="1" applyFill="1"/>
    <xf numFmtId="165" fontId="25" fillId="0" borderId="0" xfId="2" applyNumberFormat="1" applyFont="1" applyFill="1"/>
    <xf numFmtId="0" fontId="3" fillId="0" borderId="0" xfId="0" applyFont="1"/>
    <xf numFmtId="164" fontId="0" fillId="0" borderId="0" xfId="0" applyNumberFormat="1"/>
    <xf numFmtId="166" fontId="0" fillId="0" borderId="0" xfId="0" applyNumberForma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centerContinuous" vertical="center"/>
    </xf>
    <xf numFmtId="165" fontId="21" fillId="0" borderId="0" xfId="2" applyNumberFormat="1" applyFont="1" applyFill="1"/>
    <xf numFmtId="0" fontId="21" fillId="0" borderId="0" xfId="6" applyFont="1" applyFill="1" applyAlignment="1">
      <alignment vertical="top"/>
    </xf>
    <xf numFmtId="43" fontId="21" fillId="0" borderId="0" xfId="6" applyNumberFormat="1" applyFont="1" applyFill="1" applyAlignment="1">
      <alignment vertical="top"/>
    </xf>
    <xf numFmtId="165" fontId="0" fillId="0" borderId="0" xfId="0" applyNumberFormat="1"/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horizontal="centerContinuous" vertical="center"/>
    </xf>
    <xf numFmtId="0" fontId="34" fillId="0" borderId="0" xfId="0" applyFont="1" applyFill="1" applyAlignment="1">
      <alignment horizontal="centerContinuous" vertical="center"/>
    </xf>
    <xf numFmtId="0" fontId="32" fillId="0" borderId="0" xfId="0" applyFont="1" applyFill="1"/>
    <xf numFmtId="0" fontId="34" fillId="0" borderId="0" xfId="0" applyFont="1" applyFill="1" applyAlignment="1">
      <alignment horizontal="left" vertical="center"/>
    </xf>
    <xf numFmtId="0" fontId="34" fillId="0" borderId="0" xfId="0" applyFont="1" applyFill="1"/>
    <xf numFmtId="0" fontId="34" fillId="0" borderId="0" xfId="0" applyFont="1" applyFill="1" applyAlignment="1">
      <alignment vertical="center"/>
    </xf>
    <xf numFmtId="166" fontId="32" fillId="0" borderId="0" xfId="0" applyNumberFormat="1" applyFont="1"/>
    <xf numFmtId="16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174" fontId="0" fillId="0" borderId="0" xfId="0" applyNumberFormat="1"/>
    <xf numFmtId="0" fontId="37" fillId="0" borderId="0" xfId="0" applyFont="1"/>
    <xf numFmtId="168" fontId="37" fillId="0" borderId="0" xfId="10" applyNumberFormat="1" applyFont="1"/>
    <xf numFmtId="165" fontId="3" fillId="0" borderId="0" xfId="2" applyNumberFormat="1"/>
    <xf numFmtId="167" fontId="0" fillId="0" borderId="0" xfId="0" applyNumberFormat="1"/>
    <xf numFmtId="0" fontId="3" fillId="0" borderId="0" xfId="5" applyAlignment="1">
      <alignment vertical="center"/>
    </xf>
    <xf numFmtId="0" fontId="3" fillId="0" borderId="0" xfId="5" applyFill="1" applyAlignment="1">
      <alignment vertical="center"/>
    </xf>
    <xf numFmtId="170" fontId="38" fillId="0" borderId="0" xfId="3" applyNumberFormat="1" applyFont="1" applyBorder="1" applyAlignment="1">
      <alignment vertical="center"/>
    </xf>
    <xf numFmtId="14" fontId="23" fillId="0" borderId="0" xfId="0" applyNumberFormat="1" applyFont="1"/>
    <xf numFmtId="168" fontId="0" fillId="0" borderId="0" xfId="0" applyNumberFormat="1"/>
    <xf numFmtId="0" fontId="17" fillId="0" borderId="0" xfId="0" applyFont="1" applyAlignment="1">
      <alignment horizontal="justify"/>
    </xf>
    <xf numFmtId="167" fontId="0" fillId="0" borderId="0" xfId="0" applyNumberFormat="1" applyAlignment="1">
      <alignment vertical="center"/>
    </xf>
    <xf numFmtId="9" fontId="0" fillId="0" borderId="0" xfId="0" applyNumberFormat="1"/>
    <xf numFmtId="177" fontId="0" fillId="0" borderId="0" xfId="0" applyNumberFormat="1"/>
    <xf numFmtId="166" fontId="42" fillId="0" borderId="0" xfId="0" applyNumberFormat="1" applyFont="1"/>
    <xf numFmtId="0" fontId="22" fillId="0" borderId="0" xfId="0" applyFont="1" applyAlignment="1">
      <alignment vertical="top"/>
    </xf>
    <xf numFmtId="0" fontId="17" fillId="0" borderId="0" xfId="0" applyFont="1" applyAlignment="1">
      <alignment vertical="top"/>
    </xf>
    <xf numFmtId="165" fontId="0" fillId="0" borderId="0" xfId="0" applyNumberFormat="1" applyAlignment="1">
      <alignment vertical="center"/>
    </xf>
    <xf numFmtId="176" fontId="0" fillId="0" borderId="0" xfId="0" applyNumberFormat="1"/>
    <xf numFmtId="165" fontId="20" fillId="0" borderId="0" xfId="0" applyNumberFormat="1" applyFont="1"/>
    <xf numFmtId="0" fontId="3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166" fontId="37" fillId="0" borderId="0" xfId="0" applyNumberFormat="1" applyFont="1"/>
    <xf numFmtId="166" fontId="44" fillId="0" borderId="0" xfId="0" applyNumberFormat="1" applyFont="1"/>
    <xf numFmtId="166" fontId="9" fillId="0" borderId="0" xfId="0" applyNumberFormat="1" applyFont="1"/>
    <xf numFmtId="164" fontId="3" fillId="0" borderId="0" xfId="2" applyNumberFormat="1" applyAlignment="1">
      <alignment vertical="center"/>
    </xf>
    <xf numFmtId="164" fontId="3" fillId="0" borderId="0" xfId="2" applyNumberFormat="1"/>
    <xf numFmtId="164" fontId="37" fillId="0" borderId="0" xfId="2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9" fillId="0" borderId="0" xfId="0" applyNumberFormat="1" applyFont="1"/>
    <xf numFmtId="0" fontId="9" fillId="0" borderId="0" xfId="0" applyFont="1" applyAlignment="1">
      <alignment horizontal="right" vertical="center"/>
    </xf>
    <xf numFmtId="165" fontId="0" fillId="0" borderId="0" xfId="2" applyNumberFormat="1" applyFont="1" applyAlignment="1">
      <alignment vertical="center"/>
    </xf>
    <xf numFmtId="165" fontId="37" fillId="0" borderId="0" xfId="2" applyNumberFormat="1" applyFont="1" applyAlignment="1">
      <alignment vertical="center"/>
    </xf>
    <xf numFmtId="176" fontId="37" fillId="0" borderId="0" xfId="2" applyNumberFormat="1" applyFont="1" applyAlignment="1">
      <alignment vertical="center"/>
    </xf>
    <xf numFmtId="177" fontId="32" fillId="0" borderId="0" xfId="0" applyNumberFormat="1" applyFont="1"/>
    <xf numFmtId="0" fontId="3" fillId="0" borderId="0" xfId="8"/>
    <xf numFmtId="168" fontId="3" fillId="0" borderId="0" xfId="10" applyNumberFormat="1"/>
    <xf numFmtId="0" fontId="43" fillId="0" borderId="0" xfId="0" applyFont="1" applyAlignment="1">
      <alignment vertical="top"/>
    </xf>
    <xf numFmtId="0" fontId="23" fillId="0" borderId="0" xfId="8" applyFont="1"/>
    <xf numFmtId="0" fontId="48" fillId="7" borderId="10" xfId="0" applyFont="1" applyFill="1" applyBorder="1" applyAlignment="1">
      <alignment horizontal="centerContinuous" vertical="center" wrapText="1"/>
    </xf>
    <xf numFmtId="0" fontId="48" fillId="7" borderId="11" xfId="0" applyFont="1" applyFill="1" applyBorder="1" applyAlignment="1">
      <alignment horizontal="centerContinuous" vertical="center" wrapText="1"/>
    </xf>
    <xf numFmtId="0" fontId="48" fillId="7" borderId="12" xfId="0" applyFont="1" applyFill="1" applyBorder="1" applyAlignment="1">
      <alignment horizontal="centerContinuous" vertical="center" wrapText="1"/>
    </xf>
    <xf numFmtId="0" fontId="48" fillId="7" borderId="13" xfId="0" applyFont="1" applyFill="1" applyBorder="1" applyAlignment="1">
      <alignment horizontal="centerContinuous" vertical="center" wrapText="1"/>
    </xf>
    <xf numFmtId="0" fontId="49" fillId="7" borderId="14" xfId="0" applyFont="1" applyFill="1" applyBorder="1" applyAlignment="1">
      <alignment horizontal="center" vertical="center" wrapText="1"/>
    </xf>
    <xf numFmtId="0" fontId="49" fillId="7" borderId="15" xfId="0" applyFont="1" applyFill="1" applyBorder="1" applyAlignment="1">
      <alignment horizontal="center" vertical="center" wrapText="1"/>
    </xf>
    <xf numFmtId="0" fontId="49" fillId="7" borderId="16" xfId="0" applyFont="1" applyFill="1" applyBorder="1" applyAlignment="1">
      <alignment horizontal="center" vertical="center" wrapText="1"/>
    </xf>
    <xf numFmtId="0" fontId="49" fillId="7" borderId="7" xfId="0" applyFont="1" applyFill="1" applyBorder="1" applyAlignment="1">
      <alignment horizontal="center" vertical="center" wrapText="1"/>
    </xf>
    <xf numFmtId="0" fontId="49" fillId="7" borderId="8" xfId="0" applyFont="1" applyFill="1" applyBorder="1" applyAlignment="1">
      <alignment horizontal="center" vertical="center" wrapText="1"/>
    </xf>
    <xf numFmtId="0" fontId="49" fillId="7" borderId="17" xfId="0" applyFont="1" applyFill="1" applyBorder="1" applyAlignment="1">
      <alignment horizontal="centerContinuous" vertical="center" wrapText="1"/>
    </xf>
    <xf numFmtId="0" fontId="49" fillId="7" borderId="18" xfId="0" applyFont="1" applyFill="1" applyBorder="1" applyAlignment="1">
      <alignment horizontal="centerContinuous" vertical="center" wrapText="1"/>
    </xf>
    <xf numFmtId="0" fontId="49" fillId="7" borderId="19" xfId="0" applyFont="1" applyFill="1" applyBorder="1" applyAlignment="1">
      <alignment horizontal="centerContinuous" vertical="center" wrapText="1"/>
    </xf>
    <xf numFmtId="0" fontId="49" fillId="7" borderId="20" xfId="0" applyFont="1" applyFill="1" applyBorder="1" applyAlignment="1">
      <alignment horizontal="centerContinuous" vertical="center" wrapText="1"/>
    </xf>
    <xf numFmtId="0" fontId="48" fillId="7" borderId="21" xfId="0" applyFont="1" applyFill="1" applyBorder="1" applyAlignment="1">
      <alignment horizontal="centerContinuous" vertical="center" wrapText="1"/>
    </xf>
    <xf numFmtId="0" fontId="48" fillId="7" borderId="22" xfId="0" applyFont="1" applyFill="1" applyBorder="1" applyAlignment="1">
      <alignment horizontal="centerContinuous" vertical="center" wrapText="1"/>
    </xf>
    <xf numFmtId="0" fontId="48" fillId="7" borderId="23" xfId="0" applyFont="1" applyFill="1" applyBorder="1" applyAlignment="1">
      <alignment horizontal="centerContinuous" vertical="center" wrapText="1"/>
    </xf>
    <xf numFmtId="0" fontId="48" fillId="7" borderId="24" xfId="0" applyFont="1" applyFill="1" applyBorder="1" applyAlignment="1">
      <alignment horizontal="centerContinuous" vertical="center" wrapText="1"/>
    </xf>
    <xf numFmtId="0" fontId="49" fillId="7" borderId="25" xfId="0" applyFont="1" applyFill="1" applyBorder="1" applyAlignment="1">
      <alignment horizontal="center" vertical="center" wrapText="1"/>
    </xf>
    <xf numFmtId="0" fontId="48" fillId="7" borderId="26" xfId="0" applyFont="1" applyFill="1" applyBorder="1" applyAlignment="1">
      <alignment horizontal="centerContinuous" vertical="center" wrapText="1"/>
    </xf>
    <xf numFmtId="0" fontId="48" fillId="7" borderId="27" xfId="0" applyFont="1" applyFill="1" applyBorder="1" applyAlignment="1">
      <alignment horizontal="centerContinuous" vertical="center" wrapText="1"/>
    </xf>
    <xf numFmtId="0" fontId="49" fillId="7" borderId="28" xfId="0" applyFont="1" applyFill="1" applyBorder="1" applyAlignment="1">
      <alignment horizontal="centerContinuous" vertical="center" wrapText="1"/>
    </xf>
    <xf numFmtId="0" fontId="49" fillId="7" borderId="29" xfId="0" applyFont="1" applyFill="1" applyBorder="1" applyAlignment="1">
      <alignment horizontal="centerContinuous" vertical="center" wrapText="1"/>
    </xf>
    <xf numFmtId="0" fontId="49" fillId="7" borderId="30" xfId="0" applyFont="1" applyFill="1" applyBorder="1" applyAlignment="1">
      <alignment horizontal="centerContinuous" vertical="center" wrapText="1"/>
    </xf>
    <xf numFmtId="0" fontId="48" fillId="7" borderId="31" xfId="0" applyFont="1" applyFill="1" applyBorder="1" applyAlignment="1">
      <alignment horizontal="centerContinuous" vertical="center" wrapText="1"/>
    </xf>
    <xf numFmtId="0" fontId="49" fillId="7" borderId="32" xfId="0" applyFont="1" applyFill="1" applyBorder="1" applyAlignment="1">
      <alignment horizontal="centerContinuous" vertical="center" wrapText="1"/>
    </xf>
    <xf numFmtId="176" fontId="9" fillId="0" borderId="0" xfId="2" applyNumberFormat="1" applyFont="1"/>
    <xf numFmtId="10" fontId="9" fillId="0" borderId="0" xfId="0" applyNumberFormat="1" applyFont="1"/>
    <xf numFmtId="0" fontId="11" fillId="0" borderId="3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Fill="1" applyBorder="1" applyAlignment="1">
      <alignment horizontal="center" vertical="center" wrapText="1"/>
    </xf>
    <xf numFmtId="0" fontId="26" fillId="6" borderId="34" xfId="0" applyFont="1" applyFill="1" applyBorder="1" applyAlignment="1">
      <alignment horizontal="center" vertical="center" wrapText="1"/>
    </xf>
    <xf numFmtId="0" fontId="26" fillId="6" borderId="3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Continuous" vertical="center"/>
    </xf>
    <xf numFmtId="0" fontId="47" fillId="9" borderId="37" xfId="0" applyFont="1" applyFill="1" applyBorder="1" applyAlignment="1">
      <alignment horizontal="center" vertical="center" wrapText="1"/>
    </xf>
    <xf numFmtId="0" fontId="52" fillId="0" borderId="0" xfId="0" applyFont="1"/>
    <xf numFmtId="0" fontId="53" fillId="0" borderId="0" xfId="0" applyFont="1" applyAlignment="1">
      <alignment horizontal="centerContinuous" vertical="center"/>
    </xf>
    <xf numFmtId="0" fontId="52" fillId="0" borderId="0" xfId="0" applyFont="1" applyAlignment="1">
      <alignment horizontal="centerContinuous" vertical="center"/>
    </xf>
    <xf numFmtId="0" fontId="54" fillId="0" borderId="0" xfId="0" applyFont="1"/>
    <xf numFmtId="176" fontId="0" fillId="0" borderId="0" xfId="0" applyNumberFormat="1" applyFill="1"/>
    <xf numFmtId="164" fontId="9" fillId="0" borderId="0" xfId="2" applyNumberFormat="1" applyFont="1"/>
    <xf numFmtId="0" fontId="23" fillId="0" borderId="0" xfId="0" applyFont="1" applyAlignment="1"/>
    <xf numFmtId="178" fontId="0" fillId="0" borderId="0" xfId="0" applyNumberFormat="1"/>
    <xf numFmtId="165" fontId="15" fillId="0" borderId="12" xfId="2" applyNumberFormat="1" applyFont="1" applyFill="1" applyBorder="1" applyAlignment="1">
      <alignment vertical="center"/>
    </xf>
    <xf numFmtId="165" fontId="15" fillId="0" borderId="13" xfId="2" applyNumberFormat="1" applyFont="1" applyFill="1" applyBorder="1" applyAlignment="1">
      <alignment vertical="center"/>
    </xf>
    <xf numFmtId="165" fontId="15" fillId="0" borderId="11" xfId="2" applyNumberFormat="1" applyFont="1" applyFill="1" applyBorder="1" applyAlignment="1">
      <alignment vertical="center"/>
    </xf>
    <xf numFmtId="164" fontId="14" fillId="0" borderId="10" xfId="2" applyNumberFormat="1" applyFont="1" applyFill="1" applyBorder="1" applyAlignment="1">
      <alignment vertical="center"/>
    </xf>
    <xf numFmtId="164" fontId="14" fillId="0" borderId="24" xfId="2" applyNumberFormat="1" applyFont="1" applyFill="1" applyBorder="1" applyAlignment="1">
      <alignment vertical="center"/>
    </xf>
    <xf numFmtId="165" fontId="14" fillId="0" borderId="12" xfId="2" applyNumberFormat="1" applyFont="1" applyFill="1" applyBorder="1" applyAlignment="1">
      <alignment vertical="center"/>
    </xf>
    <xf numFmtId="164" fontId="14" fillId="0" borderId="11" xfId="2" applyNumberFormat="1" applyFont="1" applyFill="1" applyBorder="1" applyAlignment="1">
      <alignment vertical="center"/>
    </xf>
    <xf numFmtId="165" fontId="14" fillId="0" borderId="49" xfId="2" applyNumberFormat="1" applyFont="1" applyFill="1" applyBorder="1" applyAlignment="1">
      <alignment vertical="center"/>
    </xf>
    <xf numFmtId="165" fontId="14" fillId="0" borderId="10" xfId="2" applyNumberFormat="1" applyFont="1" applyFill="1" applyBorder="1" applyAlignment="1">
      <alignment vertical="center"/>
    </xf>
    <xf numFmtId="164" fontId="14" fillId="0" borderId="36" xfId="2" applyNumberFormat="1" applyFont="1" applyFill="1" applyBorder="1" applyAlignment="1">
      <alignment vertical="center"/>
    </xf>
    <xf numFmtId="165" fontId="15" fillId="0" borderId="50" xfId="2" applyNumberFormat="1" applyFont="1" applyFill="1" applyBorder="1" applyAlignment="1">
      <alignment horizontal="right" vertical="center"/>
    </xf>
    <xf numFmtId="165" fontId="15" fillId="0" borderId="42" xfId="2" applyNumberFormat="1" applyFont="1" applyFill="1" applyBorder="1" applyAlignment="1">
      <alignment horizontal="right" vertical="center"/>
    </xf>
    <xf numFmtId="165" fontId="15" fillId="0" borderId="51" xfId="2" applyNumberFormat="1" applyFont="1" applyFill="1" applyBorder="1" applyAlignment="1">
      <alignment horizontal="right" vertical="center"/>
    </xf>
    <xf numFmtId="164" fontId="14" fillId="0" borderId="52" xfId="2" applyNumberFormat="1" applyFont="1" applyFill="1" applyBorder="1" applyAlignment="1">
      <alignment horizontal="right" vertical="center"/>
    </xf>
    <xf numFmtId="164" fontId="14" fillId="0" borderId="53" xfId="2" applyNumberFormat="1" applyFont="1" applyFill="1" applyBorder="1" applyAlignment="1">
      <alignment horizontal="right" vertical="center"/>
    </xf>
    <xf numFmtId="165" fontId="14" fillId="0" borderId="50" xfId="2" applyNumberFormat="1" applyFont="1" applyFill="1" applyBorder="1" applyAlignment="1">
      <alignment horizontal="right" vertical="center"/>
    </xf>
    <xf numFmtId="164" fontId="14" fillId="0" borderId="51" xfId="2" applyNumberFormat="1" applyFont="1" applyFill="1" applyBorder="1" applyAlignment="1">
      <alignment horizontal="right" vertical="center"/>
    </xf>
    <xf numFmtId="165" fontId="14" fillId="0" borderId="54" xfId="2" applyNumberFormat="1" applyFont="1" applyFill="1" applyBorder="1" applyAlignment="1">
      <alignment horizontal="right" vertical="center"/>
    </xf>
    <xf numFmtId="165" fontId="14" fillId="0" borderId="52" xfId="2" applyNumberFormat="1" applyFont="1" applyFill="1" applyBorder="1" applyAlignment="1">
      <alignment horizontal="right" vertical="center"/>
    </xf>
    <xf numFmtId="164" fontId="14" fillId="0" borderId="38" xfId="2" applyNumberFormat="1" applyFont="1" applyFill="1" applyBorder="1" applyAlignment="1">
      <alignment horizontal="right" vertical="center"/>
    </xf>
    <xf numFmtId="165" fontId="15" fillId="0" borderId="14" xfId="2" applyNumberFormat="1" applyFont="1" applyFill="1" applyBorder="1" applyAlignment="1">
      <alignment horizontal="right" vertical="center"/>
    </xf>
    <xf numFmtId="165" fontId="15" fillId="0" borderId="9" xfId="2" applyNumberFormat="1" applyFont="1" applyFill="1" applyBorder="1" applyAlignment="1">
      <alignment horizontal="right" vertical="center"/>
    </xf>
    <xf numFmtId="165" fontId="15" fillId="0" borderId="15" xfId="2" applyNumberFormat="1" applyFont="1" applyFill="1" applyBorder="1" applyAlignment="1">
      <alignment horizontal="right" vertical="center"/>
    </xf>
    <xf numFmtId="164" fontId="14" fillId="0" borderId="16" xfId="2" applyNumberFormat="1" applyFont="1" applyFill="1" applyBorder="1" applyAlignment="1">
      <alignment horizontal="right" vertical="center"/>
    </xf>
    <xf numFmtId="164" fontId="14" fillId="0" borderId="55" xfId="2" applyNumberFormat="1" applyFont="1" applyFill="1" applyBorder="1" applyAlignment="1">
      <alignment horizontal="right" vertical="center"/>
    </xf>
    <xf numFmtId="165" fontId="14" fillId="0" borderId="14" xfId="2" applyNumberFormat="1" applyFont="1" applyFill="1" applyBorder="1" applyAlignment="1">
      <alignment horizontal="right" vertical="center"/>
    </xf>
    <xf numFmtId="164" fontId="14" fillId="0" borderId="15" xfId="2" applyNumberFormat="1" applyFont="1" applyFill="1" applyBorder="1" applyAlignment="1">
      <alignment horizontal="right" vertical="center"/>
    </xf>
    <xf numFmtId="165" fontId="14" fillId="0" borderId="8" xfId="2" applyNumberFormat="1" applyFont="1" applyFill="1" applyBorder="1" applyAlignment="1">
      <alignment horizontal="right" vertical="center"/>
    </xf>
    <xf numFmtId="165" fontId="14" fillId="0" borderId="16" xfId="2" applyNumberFormat="1" applyFont="1" applyFill="1" applyBorder="1" applyAlignment="1">
      <alignment horizontal="right" vertical="center"/>
    </xf>
    <xf numFmtId="164" fontId="14" fillId="0" borderId="7" xfId="2" applyNumberFormat="1" applyFont="1" applyFill="1" applyBorder="1" applyAlignment="1">
      <alignment horizontal="right" vertical="center"/>
    </xf>
    <xf numFmtId="165" fontId="55" fillId="9" borderId="56" xfId="2" applyNumberFormat="1" applyFont="1" applyFill="1" applyBorder="1" applyAlignment="1">
      <alignment vertical="center"/>
    </xf>
    <xf numFmtId="165" fontId="55" fillId="9" borderId="57" xfId="2" applyNumberFormat="1" applyFont="1" applyFill="1" applyBorder="1" applyAlignment="1">
      <alignment vertical="center"/>
    </xf>
    <xf numFmtId="165" fontId="55" fillId="9" borderId="58" xfId="2" applyNumberFormat="1" applyFont="1" applyFill="1" applyBorder="1" applyAlignment="1">
      <alignment vertical="center"/>
    </xf>
    <xf numFmtId="164" fontId="55" fillId="9" borderId="59" xfId="2" applyNumberFormat="1" applyFont="1" applyFill="1" applyBorder="1" applyAlignment="1">
      <alignment vertical="center"/>
    </xf>
    <xf numFmtId="164" fontId="55" fillId="9" borderId="60" xfId="2" applyNumberFormat="1" applyFont="1" applyFill="1" applyBorder="1" applyAlignment="1">
      <alignment vertical="center"/>
    </xf>
    <xf numFmtId="164" fontId="55" fillId="9" borderId="58" xfId="2" applyNumberFormat="1" applyFont="1" applyFill="1" applyBorder="1" applyAlignment="1">
      <alignment vertical="center"/>
    </xf>
    <xf numFmtId="165" fontId="55" fillId="9" borderId="61" xfId="2" applyNumberFormat="1" applyFont="1" applyFill="1" applyBorder="1" applyAlignment="1">
      <alignment vertical="center"/>
    </xf>
    <xf numFmtId="165" fontId="55" fillId="9" borderId="59" xfId="2" applyNumberFormat="1" applyFont="1" applyFill="1" applyBorder="1" applyAlignment="1">
      <alignment vertical="center"/>
    </xf>
    <xf numFmtId="164" fontId="55" fillId="9" borderId="62" xfId="2" applyNumberFormat="1" applyFont="1" applyFill="1" applyBorder="1" applyAlignment="1">
      <alignment vertical="center"/>
    </xf>
    <xf numFmtId="0" fontId="6" fillId="7" borderId="63" xfId="0" applyFont="1" applyFill="1" applyBorder="1" applyAlignment="1">
      <alignment vertical="center" wrapText="1"/>
    </xf>
    <xf numFmtId="0" fontId="6" fillId="7" borderId="64" xfId="0" applyFont="1" applyFill="1" applyBorder="1" applyAlignment="1">
      <alignment vertical="center" wrapText="1"/>
    </xf>
    <xf numFmtId="0" fontId="6" fillId="7" borderId="65" xfId="0" applyFont="1" applyFill="1" applyBorder="1" applyAlignment="1">
      <alignment vertical="center" wrapText="1"/>
    </xf>
    <xf numFmtId="0" fontId="16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181" fontId="0" fillId="0" borderId="0" xfId="0" applyNumberFormat="1"/>
    <xf numFmtId="181" fontId="17" fillId="0" borderId="0" xfId="0" applyNumberFormat="1" applyFont="1"/>
    <xf numFmtId="0" fontId="22" fillId="0" borderId="0" xfId="0" applyFont="1" applyBorder="1" applyAlignment="1">
      <alignment vertical="top" wrapText="1"/>
    </xf>
    <xf numFmtId="165" fontId="18" fillId="0" borderId="0" xfId="2" applyNumberFormat="1" applyFont="1" applyFill="1" applyBorder="1" applyAlignment="1">
      <alignment horizontal="left" vertical="top"/>
    </xf>
    <xf numFmtId="0" fontId="45" fillId="0" borderId="0" xfId="0" applyFont="1" applyAlignment="1">
      <alignment vertical="top"/>
    </xf>
    <xf numFmtId="179" fontId="0" fillId="0" borderId="0" xfId="0" applyNumberFormat="1"/>
    <xf numFmtId="0" fontId="22" fillId="0" borderId="0" xfId="0" applyFont="1" applyAlignment="1">
      <alignment horizontal="justify" vertical="top"/>
    </xf>
    <xf numFmtId="0" fontId="23" fillId="0" borderId="0" xfId="0" applyFont="1" applyAlignment="1">
      <alignment horizontal="justify" vertical="top"/>
    </xf>
    <xf numFmtId="0" fontId="20" fillId="0" borderId="0" xfId="0" applyFont="1"/>
    <xf numFmtId="182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186" fontId="0" fillId="0" borderId="0" xfId="0" applyNumberFormat="1"/>
    <xf numFmtId="187" fontId="21" fillId="0" borderId="0" xfId="6" applyNumberFormat="1" applyFont="1" applyFill="1" applyAlignment="1">
      <alignment vertical="top"/>
    </xf>
    <xf numFmtId="187" fontId="0" fillId="0" borderId="0" xfId="0" applyNumberFormat="1"/>
    <xf numFmtId="0" fontId="11" fillId="0" borderId="6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188" fontId="9" fillId="0" borderId="0" xfId="0" applyNumberFormat="1" applyFont="1"/>
    <xf numFmtId="0" fontId="7" fillId="8" borderId="67" xfId="0" applyFont="1" applyFill="1" applyBorder="1" applyAlignment="1">
      <alignment horizontal="center" vertical="center" wrapText="1"/>
    </xf>
    <xf numFmtId="0" fontId="12" fillId="8" borderId="68" xfId="0" applyFont="1" applyFill="1" applyBorder="1" applyAlignment="1">
      <alignment horizontal="center" vertical="center" wrapText="1"/>
    </xf>
    <xf numFmtId="176" fontId="11" fillId="0" borderId="43" xfId="2" applyNumberFormat="1" applyFont="1" applyBorder="1" applyAlignment="1">
      <alignment vertical="center"/>
    </xf>
    <xf numFmtId="176" fontId="11" fillId="0" borderId="46" xfId="2" applyNumberFormat="1" applyFont="1" applyBorder="1" applyAlignment="1">
      <alignment vertical="center"/>
    </xf>
    <xf numFmtId="176" fontId="11" fillId="0" borderId="46" xfId="2" applyNumberFormat="1" applyFont="1" applyBorder="1" applyAlignment="1">
      <alignment horizontal="right" vertical="center"/>
    </xf>
    <xf numFmtId="176" fontId="11" fillId="0" borderId="44" xfId="2" applyNumberFormat="1" applyFont="1" applyBorder="1" applyAlignment="1">
      <alignment vertical="center"/>
    </xf>
    <xf numFmtId="176" fontId="12" fillId="2" borderId="48" xfId="2" applyNumberFormat="1" applyFont="1" applyFill="1" applyBorder="1" applyAlignment="1">
      <alignment vertical="center"/>
    </xf>
    <xf numFmtId="176" fontId="11" fillId="0" borderId="39" xfId="2" applyNumberFormat="1" applyFont="1" applyBorder="1" applyAlignment="1">
      <alignment vertical="center"/>
    </xf>
    <xf numFmtId="176" fontId="11" fillId="0" borderId="40" xfId="2" applyNumberFormat="1" applyFont="1" applyBorder="1" applyAlignment="1">
      <alignment vertical="center"/>
    </xf>
    <xf numFmtId="176" fontId="11" fillId="0" borderId="40" xfId="2" applyNumberFormat="1" applyFont="1" applyBorder="1" applyAlignment="1">
      <alignment horizontal="right" vertical="center"/>
    </xf>
    <xf numFmtId="176" fontId="11" fillId="0" borderId="45" xfId="2" applyNumberFormat="1" applyFont="1" applyBorder="1" applyAlignment="1">
      <alignment vertical="center"/>
    </xf>
    <xf numFmtId="176" fontId="12" fillId="2" borderId="41" xfId="2" applyNumberFormat="1" applyFont="1" applyFill="1" applyBorder="1" applyAlignment="1">
      <alignment vertical="center"/>
    </xf>
    <xf numFmtId="176" fontId="11" fillId="0" borderId="39" xfId="2" applyNumberFormat="1" applyFont="1" applyFill="1" applyBorder="1" applyAlignment="1">
      <alignment vertical="center" wrapText="1"/>
    </xf>
    <xf numFmtId="176" fontId="11" fillId="0" borderId="40" xfId="2" applyNumberFormat="1" applyFont="1" applyFill="1" applyBorder="1" applyAlignment="1">
      <alignment vertical="center" wrapText="1"/>
    </xf>
    <xf numFmtId="176" fontId="11" fillId="0" borderId="45" xfId="2" applyNumberFormat="1" applyFont="1" applyFill="1" applyBorder="1" applyAlignment="1">
      <alignment vertical="center" wrapText="1"/>
    </xf>
    <xf numFmtId="176" fontId="11" fillId="0" borderId="69" xfId="2" applyNumberFormat="1" applyFont="1" applyFill="1" applyBorder="1" applyAlignment="1">
      <alignment vertical="center" wrapText="1"/>
    </xf>
    <xf numFmtId="176" fontId="11" fillId="0" borderId="47" xfId="2" applyNumberFormat="1" applyFont="1" applyFill="1" applyBorder="1" applyAlignment="1">
      <alignment vertical="center" wrapText="1"/>
    </xf>
    <xf numFmtId="176" fontId="11" fillId="0" borderId="70" xfId="2" applyNumberFormat="1" applyFont="1" applyFill="1" applyBorder="1" applyAlignment="1">
      <alignment vertical="center" wrapText="1"/>
    </xf>
    <xf numFmtId="176" fontId="12" fillId="2" borderId="71" xfId="2" applyNumberFormat="1" applyFont="1" applyFill="1" applyBorder="1" applyAlignment="1">
      <alignment vertical="center"/>
    </xf>
    <xf numFmtId="176" fontId="12" fillId="8" borderId="72" xfId="2" applyNumberFormat="1" applyFont="1" applyFill="1" applyBorder="1" applyAlignment="1">
      <alignment vertical="center" wrapText="1"/>
    </xf>
    <xf numFmtId="176" fontId="12" fillId="8" borderId="73" xfId="2" applyNumberFormat="1" applyFont="1" applyFill="1" applyBorder="1" applyAlignment="1">
      <alignment vertical="center" wrapText="1"/>
    </xf>
    <xf numFmtId="176" fontId="12" fillId="8" borderId="74" xfId="2" applyNumberFormat="1" applyFont="1" applyFill="1" applyBorder="1" applyAlignment="1">
      <alignment vertical="center" wrapText="1"/>
    </xf>
    <xf numFmtId="176" fontId="12" fillId="8" borderId="75" xfId="2" applyNumberFormat="1" applyFont="1" applyFill="1" applyBorder="1" applyAlignment="1">
      <alignment vertical="center"/>
    </xf>
    <xf numFmtId="176" fontId="7" fillId="8" borderId="76" xfId="2" applyNumberFormat="1" applyFont="1" applyFill="1" applyBorder="1" applyAlignment="1">
      <alignment vertical="center" wrapText="1"/>
    </xf>
    <xf numFmtId="176" fontId="7" fillId="8" borderId="77" xfId="2" applyNumberFormat="1" applyFont="1" applyFill="1" applyBorder="1" applyAlignment="1">
      <alignment vertical="center" wrapText="1"/>
    </xf>
    <xf numFmtId="176" fontId="7" fillId="8" borderId="78" xfId="2" applyNumberFormat="1" applyFont="1" applyFill="1" applyBorder="1" applyAlignment="1">
      <alignment vertical="center" wrapText="1"/>
    </xf>
    <xf numFmtId="176" fontId="7" fillId="8" borderId="79" xfId="2" applyNumberFormat="1" applyFont="1" applyFill="1" applyBorder="1" applyAlignment="1">
      <alignment vertical="center" wrapText="1"/>
    </xf>
    <xf numFmtId="0" fontId="45" fillId="0" borderId="0" xfId="0" applyFont="1" applyAlignment="1"/>
    <xf numFmtId="0" fontId="51" fillId="0" borderId="0" xfId="0" applyFont="1" applyAlignment="1">
      <alignment vertical="center"/>
    </xf>
    <xf numFmtId="0" fontId="60" fillId="0" borderId="0" xfId="0" applyFont="1"/>
    <xf numFmtId="0" fontId="58" fillId="0" borderId="0" xfId="0" applyFont="1" applyAlignment="1">
      <alignment vertical="top"/>
    </xf>
    <xf numFmtId="0" fontId="58" fillId="0" borderId="0" xfId="0" applyFont="1" applyAlignment="1">
      <alignment horizontal="justify" vertical="top"/>
    </xf>
    <xf numFmtId="0" fontId="59" fillId="0" borderId="0" xfId="0" applyFont="1" applyAlignment="1">
      <alignment vertical="top"/>
    </xf>
    <xf numFmtId="0" fontId="59" fillId="0" borderId="0" xfId="0" applyFont="1" applyBorder="1" applyAlignment="1">
      <alignment vertical="top"/>
    </xf>
    <xf numFmtId="0" fontId="58" fillId="0" borderId="0" xfId="0" applyFont="1" applyAlignment="1">
      <alignment vertical="center"/>
    </xf>
    <xf numFmtId="0" fontId="58" fillId="0" borderId="0" xfId="0" applyFont="1"/>
    <xf numFmtId="0" fontId="58" fillId="0" borderId="0" xfId="8" applyFont="1"/>
    <xf numFmtId="0" fontId="58" fillId="0" borderId="0" xfId="0" applyFont="1" applyAlignment="1"/>
    <xf numFmtId="0" fontId="58" fillId="0" borderId="0" xfId="0" applyFont="1" applyAlignment="1">
      <alignment horizontal="right" vertical="center"/>
    </xf>
    <xf numFmtId="0" fontId="58" fillId="0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top"/>
    </xf>
    <xf numFmtId="0" fontId="58" fillId="0" borderId="0" xfId="8" applyFont="1" applyAlignment="1"/>
    <xf numFmtId="0" fontId="61" fillId="0" borderId="0" xfId="0" applyFont="1" applyAlignment="1">
      <alignment wrapText="1"/>
    </xf>
    <xf numFmtId="0" fontId="61" fillId="0" borderId="0" xfId="0" applyFont="1" applyAlignment="1">
      <alignment vertical="center" wrapText="1"/>
    </xf>
    <xf numFmtId="0" fontId="61" fillId="0" borderId="0" xfId="5" applyFont="1" applyAlignment="1">
      <alignment vertical="center" wrapText="1"/>
    </xf>
    <xf numFmtId="0" fontId="61" fillId="0" borderId="0" xfId="8" applyFont="1" applyAlignment="1">
      <alignment wrapText="1"/>
    </xf>
    <xf numFmtId="0" fontId="60" fillId="0" borderId="0" xfId="0" applyFont="1" applyAlignment="1">
      <alignment wrapText="1"/>
    </xf>
    <xf numFmtId="0" fontId="58" fillId="0" borderId="0" xfId="0" applyFont="1" applyBorder="1" applyAlignment="1">
      <alignment horizontal="justify" vertical="top" wrapText="1"/>
    </xf>
    <xf numFmtId="0" fontId="16" fillId="0" borderId="0" xfId="0" applyFont="1" applyAlignment="1">
      <alignment vertical="center"/>
    </xf>
    <xf numFmtId="0" fontId="22" fillId="0" borderId="0" xfId="8" applyFont="1"/>
    <xf numFmtId="0" fontId="34" fillId="0" borderId="0" xfId="7" applyFont="1" applyFill="1"/>
    <xf numFmtId="0" fontId="32" fillId="0" borderId="0" xfId="7" applyFont="1" applyFill="1"/>
    <xf numFmtId="0" fontId="6" fillId="0" borderId="0" xfId="7" applyFont="1"/>
    <xf numFmtId="0" fontId="3" fillId="0" borderId="0" xfId="7"/>
    <xf numFmtId="0" fontId="9" fillId="0" borderId="0" xfId="7" applyFont="1"/>
    <xf numFmtId="0" fontId="3" fillId="0" borderId="0" xfId="7" applyFill="1"/>
    <xf numFmtId="0" fontId="21" fillId="0" borderId="0" xfId="0" applyFont="1"/>
    <xf numFmtId="182" fontId="56" fillId="0" borderId="80" xfId="0" applyNumberFormat="1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67" fillId="0" borderId="0" xfId="0" applyFont="1" applyFill="1" applyAlignment="1">
      <alignment horizontal="centerContinuous" vertical="center"/>
    </xf>
    <xf numFmtId="0" fontId="66" fillId="0" borderId="0" xfId="0" applyFont="1" applyFill="1" applyAlignment="1">
      <alignment horizontal="centerContinuous" vertical="center"/>
    </xf>
    <xf numFmtId="0" fontId="66" fillId="0" borderId="0" xfId="0" applyFont="1" applyFill="1"/>
    <xf numFmtId="0" fontId="68" fillId="0" borderId="0" xfId="0" applyFont="1" applyAlignment="1">
      <alignment vertical="center"/>
    </xf>
    <xf numFmtId="0" fontId="69" fillId="0" borderId="0" xfId="0" applyFont="1"/>
    <xf numFmtId="0" fontId="69" fillId="0" borderId="0" xfId="0" applyFont="1" applyAlignment="1">
      <alignment vertical="center"/>
    </xf>
    <xf numFmtId="0" fontId="69" fillId="0" borderId="0" xfId="0" applyFont="1" applyAlignment="1">
      <alignment wrapText="1"/>
    </xf>
    <xf numFmtId="0" fontId="70" fillId="0" borderId="0" xfId="0" applyFont="1"/>
    <xf numFmtId="186" fontId="75" fillId="0" borderId="81" xfId="2" applyNumberFormat="1" applyFont="1" applyBorder="1" applyAlignment="1">
      <alignment horizontal="right" vertical="center"/>
    </xf>
    <xf numFmtId="0" fontId="68" fillId="0" borderId="0" xfId="0" applyFont="1"/>
    <xf numFmtId="0" fontId="72" fillId="0" borderId="0" xfId="0" applyFont="1" applyAlignment="1">
      <alignment vertical="top"/>
    </xf>
    <xf numFmtId="0" fontId="83" fillId="0" borderId="0" xfId="0" applyFont="1" applyBorder="1" applyAlignment="1">
      <alignment vertical="top" wrapText="1"/>
    </xf>
    <xf numFmtId="0" fontId="82" fillId="0" borderId="0" xfId="0" applyFont="1" applyAlignment="1">
      <alignment vertical="top"/>
    </xf>
    <xf numFmtId="0" fontId="82" fillId="0" borderId="0" xfId="0" applyFont="1" applyAlignment="1">
      <alignment vertical="center"/>
    </xf>
    <xf numFmtId="0" fontId="82" fillId="0" borderId="0" xfId="0" applyFont="1"/>
    <xf numFmtId="0" fontId="73" fillId="0" borderId="0" xfId="0" applyFont="1"/>
    <xf numFmtId="0" fontId="69" fillId="0" borderId="0" xfId="0" applyFont="1" applyFill="1"/>
    <xf numFmtId="165" fontId="85" fillId="0" borderId="0" xfId="2" applyNumberFormat="1" applyFont="1" applyFill="1" applyBorder="1" applyAlignment="1">
      <alignment vertical="top"/>
    </xf>
    <xf numFmtId="0" fontId="72" fillId="0" borderId="0" xfId="0" applyFont="1" applyBorder="1" applyAlignment="1"/>
    <xf numFmtId="0" fontId="86" fillId="0" borderId="0" xfId="0" applyFont="1" applyBorder="1"/>
    <xf numFmtId="165" fontId="69" fillId="0" borderId="0" xfId="2" applyNumberFormat="1" applyFont="1" applyBorder="1"/>
    <xf numFmtId="0" fontId="73" fillId="0" borderId="0" xfId="0" applyFont="1" applyAlignment="1">
      <alignment vertical="center"/>
    </xf>
    <xf numFmtId="0" fontId="72" fillId="0" borderId="0" xfId="0" applyFont="1" applyAlignment="1">
      <alignment vertical="top" wrapText="1"/>
    </xf>
    <xf numFmtId="0" fontId="83" fillId="0" borderId="0" xfId="0" applyFont="1" applyAlignment="1"/>
    <xf numFmtId="165" fontId="82" fillId="0" borderId="0" xfId="2" applyNumberFormat="1" applyFont="1" applyBorder="1"/>
    <xf numFmtId="0" fontId="72" fillId="0" borderId="0" xfId="0" applyFont="1" applyAlignment="1">
      <alignment horizontal="left" vertical="top"/>
    </xf>
    <xf numFmtId="4" fontId="69" fillId="0" borderId="0" xfId="0" applyNumberFormat="1" applyFont="1"/>
    <xf numFmtId="0" fontId="86" fillId="0" borderId="0" xfId="0" applyFont="1"/>
    <xf numFmtId="0" fontId="82" fillId="0" borderId="0" xfId="0" applyFont="1" applyAlignment="1">
      <alignment horizontal="justify" vertical="top"/>
    </xf>
    <xf numFmtId="0" fontId="91" fillId="0" borderId="0" xfId="0" applyFont="1"/>
    <xf numFmtId="0" fontId="85" fillId="0" borderId="0" xfId="0" applyFont="1" applyAlignment="1">
      <alignment horizontal="centerContinuous" vertical="center" wrapText="1"/>
    </xf>
    <xf numFmtId="0" fontId="85" fillId="0" borderId="0" xfId="0" applyFont="1" applyAlignment="1">
      <alignment horizontal="left" vertical="center"/>
    </xf>
    <xf numFmtId="164" fontId="69" fillId="0" borderId="0" xfId="2" applyNumberFormat="1" applyFont="1" applyAlignment="1">
      <alignment vertical="center"/>
    </xf>
    <xf numFmtId="0" fontId="66" fillId="0" borderId="0" xfId="9" applyFont="1" applyFill="1" applyAlignment="1">
      <alignment vertical="center"/>
    </xf>
    <xf numFmtId="0" fontId="67" fillId="0" borderId="0" xfId="9" applyFont="1" applyFill="1" applyAlignment="1">
      <alignment horizontal="centerContinuous" vertical="center"/>
    </xf>
    <xf numFmtId="0" fontId="66" fillId="0" borderId="0" xfId="9" applyFont="1" applyFill="1" applyAlignment="1">
      <alignment horizontal="centerContinuous" vertical="center"/>
    </xf>
    <xf numFmtId="0" fontId="69" fillId="0" borderId="0" xfId="9" applyFont="1" applyAlignment="1">
      <alignment vertical="center"/>
    </xf>
    <xf numFmtId="0" fontId="68" fillId="0" borderId="0" xfId="0" applyFont="1" applyAlignment="1">
      <alignment horizontal="centerContinuous" vertical="center"/>
    </xf>
    <xf numFmtId="0" fontId="89" fillId="0" borderId="80" xfId="0" applyFont="1" applyFill="1" applyBorder="1" applyAlignment="1">
      <alignment horizontal="center" vertical="center" wrapText="1"/>
    </xf>
    <xf numFmtId="0" fontId="72" fillId="0" borderId="0" xfId="0" applyFont="1" applyAlignment="1"/>
    <xf numFmtId="0" fontId="72" fillId="0" borderId="0" xfId="0" applyFont="1"/>
    <xf numFmtId="164" fontId="66" fillId="0" borderId="0" xfId="2" applyNumberFormat="1" applyFont="1" applyFill="1" applyAlignment="1">
      <alignment horizontal="centerContinuous" vertical="center"/>
    </xf>
    <xf numFmtId="164" fontId="82" fillId="0" borderId="0" xfId="2" applyNumberFormat="1" applyFont="1"/>
    <xf numFmtId="0" fontId="83" fillId="0" borderId="0" xfId="0" applyFont="1" applyAlignment="1">
      <alignment vertical="top"/>
    </xf>
    <xf numFmtId="0" fontId="82" fillId="0" borderId="0" xfId="0" applyFont="1" applyAlignment="1">
      <alignment wrapText="1"/>
    </xf>
    <xf numFmtId="0" fontId="69" fillId="0" borderId="0" xfId="5" applyFont="1" applyAlignment="1">
      <alignment vertical="center"/>
    </xf>
    <xf numFmtId="0" fontId="69" fillId="0" borderId="0" xfId="5" applyFont="1" applyFill="1" applyAlignment="1">
      <alignment vertical="center"/>
    </xf>
    <xf numFmtId="0" fontId="97" fillId="0" borderId="0" xfId="0" applyFont="1"/>
    <xf numFmtId="0" fontId="81" fillId="0" borderId="0" xfId="0" applyFont="1" applyAlignment="1">
      <alignment horizontal="centerContinuous" vertical="center" wrapText="1"/>
    </xf>
    <xf numFmtId="14" fontId="82" fillId="0" borderId="0" xfId="0" applyNumberFormat="1" applyFont="1"/>
    <xf numFmtId="0" fontId="94" fillId="0" borderId="0" xfId="0" applyFont="1"/>
    <xf numFmtId="164" fontId="97" fillId="0" borderId="0" xfId="0" applyNumberFormat="1" applyFont="1"/>
    <xf numFmtId="165" fontId="69" fillId="0" borderId="0" xfId="0" applyNumberFormat="1" applyFont="1"/>
    <xf numFmtId="0" fontId="66" fillId="0" borderId="0" xfId="7" applyFont="1" applyFill="1"/>
    <xf numFmtId="0" fontId="67" fillId="0" borderId="0" xfId="7" applyFont="1" applyFill="1" applyAlignment="1">
      <alignment horizontal="centerContinuous" vertical="center"/>
    </xf>
    <xf numFmtId="165" fontId="67" fillId="0" borderId="0" xfId="2" applyNumberFormat="1" applyFont="1" applyFill="1" applyAlignment="1">
      <alignment horizontal="centerContinuous" vertical="center"/>
    </xf>
    <xf numFmtId="0" fontId="86" fillId="0" borderId="0" xfId="7" applyFont="1"/>
    <xf numFmtId="0" fontId="69" fillId="0" borderId="0" xfId="7" applyFont="1"/>
    <xf numFmtId="0" fontId="69" fillId="0" borderId="0" xfId="7" applyFont="1" applyFill="1"/>
    <xf numFmtId="165" fontId="69" fillId="0" borderId="0" xfId="2" applyNumberFormat="1" applyFont="1"/>
    <xf numFmtId="0" fontId="66" fillId="0" borderId="0" xfId="0" applyNumberFormat="1" applyFont="1" applyFill="1" applyBorder="1"/>
    <xf numFmtId="0" fontId="67" fillId="0" borderId="0" xfId="0" applyNumberFormat="1" applyFont="1" applyFill="1" applyBorder="1" applyAlignment="1">
      <alignment horizontal="centerContinuous" vertical="center"/>
    </xf>
    <xf numFmtId="0" fontId="66" fillId="0" borderId="0" xfId="0" applyNumberFormat="1" applyFont="1" applyFill="1" applyBorder="1" applyAlignment="1">
      <alignment horizontal="centerContinuous" vertical="center"/>
    </xf>
    <xf numFmtId="0" fontId="69" fillId="0" borderId="0" xfId="0" applyNumberFormat="1" applyFont="1" applyFill="1" applyBorder="1"/>
    <xf numFmtId="0" fontId="100" fillId="0" borderId="0" xfId="0" applyFont="1"/>
    <xf numFmtId="0" fontId="72" fillId="0" borderId="0" xfId="0" applyFont="1" applyBorder="1" applyAlignment="1">
      <alignment horizontal="justify" vertical="top" wrapText="1"/>
    </xf>
    <xf numFmtId="0" fontId="71" fillId="4" borderId="80" xfId="0" applyFont="1" applyFill="1" applyBorder="1" applyAlignment="1">
      <alignment horizontal="center" vertical="center" wrapText="1"/>
    </xf>
    <xf numFmtId="0" fontId="71" fillId="4" borderId="80" xfId="0" applyFont="1" applyFill="1" applyBorder="1" applyAlignment="1">
      <alignment horizontal="centerContinuous" vertical="center" wrapText="1"/>
    </xf>
    <xf numFmtId="0" fontId="80" fillId="3" borderId="80" xfId="0" applyFont="1" applyFill="1" applyBorder="1"/>
    <xf numFmtId="0" fontId="103" fillId="0" borderId="0" xfId="0" applyFont="1" applyAlignment="1">
      <alignment horizontal="centerContinuous" vertical="center"/>
    </xf>
    <xf numFmtId="0" fontId="70" fillId="0" borderId="80" xfId="0" applyFont="1" applyBorder="1" applyAlignment="1">
      <alignment horizontal="center"/>
    </xf>
    <xf numFmtId="180" fontId="70" fillId="0" borderId="80" xfId="2" applyNumberFormat="1" applyFont="1" applyBorder="1" applyAlignment="1">
      <alignment horizontal="center"/>
    </xf>
    <xf numFmtId="0" fontId="92" fillId="0" borderId="0" xfId="0" applyFont="1" applyAlignment="1">
      <alignment horizontal="left" vertical="top"/>
    </xf>
    <xf numFmtId="0" fontId="84" fillId="0" borderId="0" xfId="0" applyFont="1" applyFill="1" applyAlignment="1">
      <alignment vertical="center" wrapText="1"/>
    </xf>
    <xf numFmtId="165" fontId="82" fillId="0" borderId="0" xfId="2" applyNumberFormat="1" applyFont="1"/>
    <xf numFmtId="0" fontId="79" fillId="4" borderId="8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justify" vertical="top"/>
    </xf>
    <xf numFmtId="165" fontId="86" fillId="0" borderId="0" xfId="2" applyNumberFormat="1" applyFont="1" applyFill="1"/>
    <xf numFmtId="165" fontId="72" fillId="0" borderId="0" xfId="2" applyNumberFormat="1" applyFont="1" applyFill="1" applyBorder="1" applyAlignment="1">
      <alignment vertical="top"/>
    </xf>
    <xf numFmtId="0" fontId="69" fillId="0" borderId="0" xfId="0" applyFont="1" applyAlignment="1">
      <alignment vertical="top"/>
    </xf>
    <xf numFmtId="0" fontId="104" fillId="0" borderId="0" xfId="0" applyFont="1" applyAlignment="1">
      <alignment vertical="top"/>
    </xf>
    <xf numFmtId="0" fontId="101" fillId="7" borderId="80" xfId="0" applyFont="1" applyFill="1" applyBorder="1" applyAlignment="1">
      <alignment horizontal="centerContinuous" vertical="center" wrapText="1"/>
    </xf>
    <xf numFmtId="0" fontId="87" fillId="0" borderId="0" xfId="0" applyFont="1" applyAlignment="1"/>
    <xf numFmtId="0" fontId="102" fillId="0" borderId="0" xfId="0" applyFont="1" applyAlignment="1">
      <alignment horizontal="left" vertical="center"/>
    </xf>
    <xf numFmtId="0" fontId="95" fillId="0" borderId="0" xfId="7" applyFont="1" applyAlignment="1">
      <alignment vertical="top"/>
    </xf>
    <xf numFmtId="0" fontId="90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107" fillId="0" borderId="0" xfId="0" applyFont="1" applyAlignment="1">
      <alignment vertical="center"/>
    </xf>
    <xf numFmtId="0" fontId="106" fillId="0" borderId="0" xfId="4"/>
    <xf numFmtId="0" fontId="105" fillId="11" borderId="82" xfId="4" applyFont="1" applyFill="1" applyBorder="1" applyAlignment="1">
      <alignment horizontal="center"/>
    </xf>
    <xf numFmtId="0" fontId="105" fillId="11" borderId="83" xfId="4" applyFont="1" applyFill="1" applyBorder="1" applyAlignment="1">
      <alignment horizontal="center" wrapText="1"/>
    </xf>
    <xf numFmtId="0" fontId="105" fillId="11" borderId="83" xfId="4" applyFont="1" applyFill="1" applyBorder="1" applyAlignment="1">
      <alignment horizontal="center"/>
    </xf>
    <xf numFmtId="0" fontId="105" fillId="11" borderId="84" xfId="4" applyFont="1" applyFill="1" applyBorder="1" applyAlignment="1">
      <alignment horizontal="center"/>
    </xf>
    <xf numFmtId="43" fontId="106" fillId="0" borderId="0" xfId="4" applyNumberFormat="1"/>
    <xf numFmtId="44" fontId="64" fillId="11" borderId="85" xfId="4" applyNumberFormat="1" applyFont="1" applyFill="1" applyBorder="1" applyAlignment="1"/>
    <xf numFmtId="43" fontId="64" fillId="11" borderId="0" xfId="4" applyNumberFormat="1" applyFont="1" applyFill="1" applyBorder="1" applyAlignment="1">
      <alignment wrapText="1"/>
    </xf>
    <xf numFmtId="43" fontId="64" fillId="11" borderId="0" xfId="4" applyNumberFormat="1" applyFont="1" applyFill="1" applyBorder="1" applyAlignment="1"/>
    <xf numFmtId="43" fontId="64" fillId="11" borderId="86" xfId="4" applyNumberFormat="1" applyFont="1" applyFill="1" applyBorder="1" applyAlignment="1"/>
    <xf numFmtId="43" fontId="64" fillId="12" borderId="87" xfId="4" applyNumberFormat="1" applyFont="1" applyFill="1" applyBorder="1" applyAlignment="1"/>
    <xf numFmtId="43" fontId="64" fillId="12" borderId="88" xfId="4" applyNumberFormat="1" applyFont="1" applyFill="1" applyBorder="1" applyAlignment="1"/>
    <xf numFmtId="43" fontId="64" fillId="12" borderId="88" xfId="4" applyNumberFormat="1" applyFont="1" applyFill="1" applyBorder="1" applyAlignment="1">
      <alignment vertical="top"/>
    </xf>
    <xf numFmtId="0" fontId="69" fillId="0" borderId="0" xfId="0" applyFont="1" applyAlignment="1">
      <alignment vertical="center"/>
    </xf>
    <xf numFmtId="0" fontId="3" fillId="0" borderId="0" xfId="11"/>
    <xf numFmtId="0" fontId="3" fillId="0" borderId="0" xfId="11" applyAlignment="1">
      <alignment vertical="center"/>
    </xf>
    <xf numFmtId="0" fontId="4" fillId="0" borderId="0" xfId="11" applyFont="1" applyAlignment="1">
      <alignment wrapText="1"/>
    </xf>
    <xf numFmtId="165" fontId="3" fillId="0" borderId="0" xfId="11" applyNumberFormat="1"/>
    <xf numFmtId="0" fontId="3" fillId="0" borderId="0" xfId="11" applyFont="1"/>
    <xf numFmtId="0" fontId="78" fillId="0" borderId="0" xfId="11" applyFont="1" applyAlignment="1"/>
    <xf numFmtId="167" fontId="35" fillId="0" borderId="0" xfId="11" applyNumberFormat="1" applyFont="1"/>
    <xf numFmtId="0" fontId="58" fillId="0" borderId="0" xfId="11" applyFont="1" applyAlignment="1"/>
    <xf numFmtId="0" fontId="58" fillId="0" borderId="0" xfId="11" applyFont="1"/>
    <xf numFmtId="0" fontId="79" fillId="0" borderId="0" xfId="11" applyFont="1" applyAlignment="1">
      <alignment vertical="top" wrapText="1"/>
    </xf>
    <xf numFmtId="0" fontId="70" fillId="0" borderId="0" xfId="11" applyFont="1" applyAlignment="1">
      <alignment vertical="center" wrapText="1"/>
    </xf>
    <xf numFmtId="0" fontId="110" fillId="0" borderId="0" xfId="11" applyFont="1"/>
    <xf numFmtId="0" fontId="69" fillId="0" borderId="0" xfId="0" applyFont="1" applyAlignment="1">
      <alignment vertical="center"/>
    </xf>
    <xf numFmtId="0" fontId="75" fillId="0" borderId="97" xfId="11" quotePrefix="1" applyFont="1" applyFill="1" applyBorder="1" applyAlignment="1">
      <alignment horizontal="center" vertical="center" wrapText="1"/>
    </xf>
    <xf numFmtId="186" fontId="75" fillId="0" borderId="98" xfId="2" applyNumberFormat="1" applyFont="1" applyBorder="1" applyAlignment="1">
      <alignment horizontal="right" vertical="center"/>
    </xf>
    <xf numFmtId="186" fontId="74" fillId="5" borderId="99" xfId="2" applyNumberFormat="1" applyFont="1" applyFill="1" applyBorder="1" applyAlignment="1">
      <alignment vertical="center"/>
    </xf>
    <xf numFmtId="0" fontId="75" fillId="0" borderId="100" xfId="11" quotePrefix="1" applyFont="1" applyFill="1" applyBorder="1" applyAlignment="1">
      <alignment horizontal="center" vertical="center" wrapText="1"/>
    </xf>
    <xf numFmtId="186" fontId="74" fillId="5" borderId="101" xfId="2" applyNumberFormat="1" applyFont="1" applyFill="1" applyBorder="1" applyAlignment="1">
      <alignment vertical="center"/>
    </xf>
    <xf numFmtId="0" fontId="75" fillId="0" borderId="100" xfId="11" applyFont="1" applyFill="1" applyBorder="1" applyAlignment="1">
      <alignment horizontal="center" vertical="center" wrapText="1"/>
    </xf>
    <xf numFmtId="0" fontId="71" fillId="4" borderId="102" xfId="11" applyFont="1" applyFill="1" applyBorder="1" applyAlignment="1">
      <alignment horizontal="center" vertical="center" wrapText="1"/>
    </xf>
    <xf numFmtId="0" fontId="71" fillId="4" borderId="103" xfId="11" applyFont="1" applyFill="1" applyBorder="1" applyAlignment="1">
      <alignment horizontal="center" vertical="center" wrapText="1"/>
    </xf>
    <xf numFmtId="0" fontId="71" fillId="4" borderId="104" xfId="11" applyFont="1" applyFill="1" applyBorder="1" applyAlignment="1">
      <alignment horizontal="center" vertical="center" wrapText="1"/>
    </xf>
    <xf numFmtId="0" fontId="75" fillId="0" borderId="105" xfId="11" applyFont="1" applyFill="1" applyBorder="1" applyAlignment="1">
      <alignment horizontal="center" vertical="center" wrapText="1"/>
    </xf>
    <xf numFmtId="186" fontId="75" fillId="0" borderId="106" xfId="2" applyNumberFormat="1" applyFont="1" applyBorder="1" applyAlignment="1">
      <alignment horizontal="right" vertical="center"/>
    </xf>
    <xf numFmtId="186" fontId="74" fillId="5" borderId="107" xfId="2" applyNumberFormat="1" applyFont="1" applyFill="1" applyBorder="1" applyAlignment="1">
      <alignment vertical="center"/>
    </xf>
    <xf numFmtId="0" fontId="74" fillId="10" borderId="102" xfId="11" applyFont="1" applyFill="1" applyBorder="1" applyAlignment="1">
      <alignment horizontal="center" vertical="center" wrapText="1"/>
    </xf>
    <xf numFmtId="186" fontId="74" fillId="10" borderId="103" xfId="2" applyNumberFormat="1" applyFont="1" applyFill="1" applyBorder="1" applyAlignment="1">
      <alignment horizontal="right" vertical="center"/>
    </xf>
    <xf numFmtId="186" fontId="74" fillId="5" borderId="104" xfId="2" applyNumberFormat="1" applyFont="1" applyFill="1" applyBorder="1" applyAlignment="1">
      <alignment vertical="center"/>
    </xf>
    <xf numFmtId="167" fontId="3" fillId="0" borderId="0" xfId="11" applyNumberFormat="1"/>
    <xf numFmtId="10" fontId="3" fillId="0" borderId="0" xfId="11" applyNumberFormat="1"/>
    <xf numFmtId="0" fontId="69" fillId="0" borderId="0" xfId="0" applyFont="1" applyAlignment="1">
      <alignment vertical="center"/>
    </xf>
    <xf numFmtId="168" fontId="20" fillId="0" borderId="0" xfId="0" applyNumberFormat="1" applyFont="1"/>
    <xf numFmtId="0" fontId="109" fillId="17" borderId="0" xfId="0" applyFont="1" applyFill="1" applyAlignment="1">
      <alignment horizontal="left"/>
    </xf>
    <xf numFmtId="0" fontId="108" fillId="17" borderId="0" xfId="0" applyFont="1" applyFill="1" applyAlignment="1">
      <alignment horizontal="centerContinuous" vertical="center"/>
    </xf>
    <xf numFmtId="184" fontId="113" fillId="16" borderId="80" xfId="2" applyNumberFormat="1" applyFont="1" applyFill="1" applyBorder="1" applyAlignment="1">
      <alignment vertical="center"/>
    </xf>
    <xf numFmtId="184" fontId="113" fillId="16" borderId="80" xfId="2" applyNumberFormat="1" applyFont="1" applyFill="1" applyBorder="1" applyAlignment="1">
      <alignment horizontal="right" vertical="center"/>
    </xf>
    <xf numFmtId="181" fontId="112" fillId="4" borderId="80" xfId="2" applyNumberFormat="1" applyFont="1" applyFill="1" applyBorder="1" applyAlignment="1">
      <alignment horizontal="right" vertical="center"/>
    </xf>
    <xf numFmtId="184" fontId="113" fillId="15" borderId="80" xfId="2" applyNumberFormat="1" applyFont="1" applyFill="1" applyBorder="1" applyAlignment="1">
      <alignment vertical="center"/>
    </xf>
    <xf numFmtId="184" fontId="113" fillId="15" borderId="80" xfId="2" applyNumberFormat="1" applyFont="1" applyFill="1" applyBorder="1" applyAlignment="1">
      <alignment horizontal="right" vertical="center"/>
    </xf>
    <xf numFmtId="0" fontId="69" fillId="0" borderId="0" xfId="0" applyFont="1" applyAlignment="1">
      <alignment vertical="center"/>
    </xf>
    <xf numFmtId="0" fontId="114" fillId="0" borderId="0" xfId="0" applyFont="1" applyBorder="1" applyAlignment="1">
      <alignment horizontal="justify" vertical="top" wrapText="1"/>
    </xf>
    <xf numFmtId="0" fontId="114" fillId="0" borderId="0" xfId="0" applyFont="1" applyAlignment="1">
      <alignment horizontal="justify" vertical="top" wrapText="1"/>
    </xf>
    <xf numFmtId="0" fontId="111" fillId="17" borderId="0" xfId="0" applyFont="1" applyFill="1" applyAlignment="1">
      <alignment vertical="center" wrapText="1"/>
    </xf>
    <xf numFmtId="0" fontId="22" fillId="0" borderId="0" xfId="0" applyFont="1" applyAlignment="1">
      <alignment horizontal="justify" vertical="top"/>
    </xf>
    <xf numFmtId="0" fontId="108" fillId="17" borderId="0" xfId="0" applyFont="1" applyFill="1" applyAlignment="1">
      <alignment horizontal="center" vertical="center"/>
    </xf>
    <xf numFmtId="0" fontId="113" fillId="16" borderId="80" xfId="0" applyFont="1" applyFill="1" applyBorder="1" applyAlignment="1">
      <alignment horizontal="left" vertical="center" wrapText="1"/>
    </xf>
    <xf numFmtId="0" fontId="113" fillId="15" borderId="80" xfId="0" applyFont="1" applyFill="1" applyBorder="1" applyAlignment="1">
      <alignment horizontal="left" vertical="center" wrapText="1"/>
    </xf>
    <xf numFmtId="0" fontId="112" fillId="4" borderId="80" xfId="0" applyFont="1" applyFill="1" applyBorder="1" applyAlignment="1">
      <alignment horizontal="left" vertical="center" wrapText="1"/>
    </xf>
    <xf numFmtId="0" fontId="82" fillId="0" borderId="0" xfId="0" applyFont="1" applyAlignment="1">
      <alignment horizontal="justify" vertical="top"/>
    </xf>
    <xf numFmtId="0" fontId="81" fillId="0" borderId="0" xfId="9" applyFont="1" applyAlignment="1">
      <alignment vertical="center" wrapText="1"/>
    </xf>
    <xf numFmtId="0" fontId="101" fillId="7" borderId="80" xfId="0" applyFont="1" applyFill="1" applyBorder="1" applyAlignment="1">
      <alignment horizontal="center" vertical="center" wrapText="1"/>
    </xf>
    <xf numFmtId="0" fontId="111" fillId="17" borderId="0" xfId="0" applyFont="1" applyFill="1" applyAlignment="1">
      <alignment horizontal="left"/>
    </xf>
    <xf numFmtId="0" fontId="117" fillId="0" borderId="0" xfId="11" applyFont="1"/>
    <xf numFmtId="0" fontId="118" fillId="17" borderId="0" xfId="0" applyFont="1" applyFill="1" applyAlignment="1">
      <alignment horizontal="left"/>
    </xf>
    <xf numFmtId="0" fontId="74" fillId="4" borderId="80" xfId="0" applyFont="1" applyFill="1" applyBorder="1" applyAlignment="1">
      <alignment horizontal="center" vertical="center" wrapText="1"/>
    </xf>
    <xf numFmtId="0" fontId="74" fillId="4" borderId="80" xfId="11" applyFont="1" applyFill="1" applyBorder="1" applyAlignment="1">
      <alignment horizontal="center" vertical="center" wrapText="1"/>
    </xf>
    <xf numFmtId="0" fontId="113" fillId="16" borderId="80" xfId="11" applyFont="1" applyFill="1" applyBorder="1" applyAlignment="1">
      <alignment horizontal="center" vertical="center" wrapText="1"/>
    </xf>
    <xf numFmtId="0" fontId="113" fillId="15" borderId="80" xfId="11" applyFont="1" applyFill="1" applyBorder="1" applyAlignment="1">
      <alignment horizontal="center" vertical="center" wrapText="1"/>
    </xf>
    <xf numFmtId="0" fontId="111" fillId="17" borderId="0" xfId="11" applyFont="1" applyFill="1" applyAlignment="1">
      <alignment horizontal="left"/>
    </xf>
    <xf numFmtId="0" fontId="108" fillId="17" borderId="0" xfId="11" applyFont="1" applyFill="1" applyAlignment="1">
      <alignment horizontal="centerContinuous" vertical="center"/>
    </xf>
    <xf numFmtId="0" fontId="112" fillId="4" borderId="80" xfId="11" applyFont="1" applyFill="1" applyBorder="1" applyAlignment="1">
      <alignment horizontal="center" vertical="center" wrapText="1"/>
    </xf>
    <xf numFmtId="0" fontId="112" fillId="4" borderId="80" xfId="11" applyFont="1" applyFill="1" applyBorder="1" applyAlignment="1">
      <alignment horizontal="left" vertical="center" wrapText="1"/>
    </xf>
    <xf numFmtId="0" fontId="116" fillId="17" borderId="0" xfId="11" applyFont="1" applyFill="1" applyAlignment="1">
      <alignment vertical="center" wrapText="1"/>
    </xf>
    <xf numFmtId="0" fontId="113" fillId="16" borderId="80" xfId="11" applyFont="1" applyFill="1" applyBorder="1" applyAlignment="1">
      <alignment horizontal="left" vertical="center" wrapText="1"/>
    </xf>
    <xf numFmtId="0" fontId="113" fillId="15" borderId="80" xfId="11" applyFont="1" applyFill="1" applyBorder="1" applyAlignment="1">
      <alignment horizontal="left" vertical="center" wrapText="1"/>
    </xf>
    <xf numFmtId="0" fontId="72" fillId="0" borderId="0" xfId="11" applyFont="1" applyAlignment="1">
      <alignment horizontal="justify" vertical="top"/>
    </xf>
    <xf numFmtId="0" fontId="72" fillId="0" borderId="0" xfId="11" applyFont="1" applyAlignment="1">
      <alignment horizontal="left" vertical="top" wrapText="1"/>
    </xf>
    <xf numFmtId="0" fontId="69" fillId="20" borderId="80" xfId="11" applyFont="1" applyFill="1" applyBorder="1" applyAlignment="1">
      <alignment horizontal="center" vertical="center" wrapText="1"/>
    </xf>
    <xf numFmtId="0" fontId="69" fillId="19" borderId="80" xfId="11" applyFont="1" applyFill="1" applyBorder="1" applyAlignment="1">
      <alignment horizontal="center" vertical="center" wrapText="1"/>
    </xf>
    <xf numFmtId="0" fontId="121" fillId="22" borderId="80" xfId="11" applyFont="1" applyFill="1" applyBorder="1" applyAlignment="1">
      <alignment horizontal="center" vertical="center" wrapText="1"/>
    </xf>
    <xf numFmtId="0" fontId="69" fillId="28" borderId="80" xfId="11" applyFont="1" applyFill="1" applyBorder="1" applyAlignment="1">
      <alignment horizontal="center" vertical="center" wrapText="1"/>
    </xf>
    <xf numFmtId="0" fontId="69" fillId="27" borderId="80" xfId="11" applyFont="1" applyFill="1" applyBorder="1" applyAlignment="1">
      <alignment horizontal="left" vertical="center" wrapText="1"/>
    </xf>
    <xf numFmtId="0" fontId="69" fillId="28" borderId="80" xfId="11" applyFont="1" applyFill="1" applyBorder="1" applyAlignment="1">
      <alignment horizontal="left" vertical="center" wrapText="1"/>
    </xf>
    <xf numFmtId="0" fontId="123" fillId="15" borderId="80" xfId="0" applyFont="1" applyFill="1" applyBorder="1" applyAlignment="1">
      <alignment horizontal="center" vertical="center" wrapText="1"/>
    </xf>
    <xf numFmtId="0" fontId="123" fillId="16" borderId="80" xfId="0" applyFont="1" applyFill="1" applyBorder="1" applyAlignment="1">
      <alignment horizontal="center" vertical="center" wrapText="1"/>
    </xf>
    <xf numFmtId="184" fontId="123" fillId="16" borderId="80" xfId="2" applyNumberFormat="1" applyFont="1" applyFill="1" applyBorder="1" applyAlignment="1">
      <alignment vertical="center"/>
    </xf>
    <xf numFmtId="184" fontId="123" fillId="15" borderId="80" xfId="2" applyNumberFormat="1" applyFont="1" applyFill="1" applyBorder="1" applyAlignment="1">
      <alignment vertical="center"/>
    </xf>
    <xf numFmtId="0" fontId="124" fillId="16" borderId="80" xfId="0" applyFont="1" applyFill="1" applyBorder="1" applyAlignment="1">
      <alignment horizontal="center" vertical="center" wrapText="1"/>
    </xf>
    <xf numFmtId="0" fontId="124" fillId="15" borderId="80" xfId="0" applyFont="1" applyFill="1" applyBorder="1" applyAlignment="1">
      <alignment horizontal="center" vertical="center" wrapText="1"/>
    </xf>
    <xf numFmtId="0" fontId="125" fillId="4" borderId="80" xfId="0" applyFont="1" applyFill="1" applyBorder="1" applyAlignment="1">
      <alignment horizontal="center" vertical="center" wrapText="1"/>
    </xf>
    <xf numFmtId="0" fontId="126" fillId="4" borderId="80" xfId="0" applyFont="1" applyFill="1" applyBorder="1" applyAlignment="1">
      <alignment horizontal="center" vertical="center" wrapText="1"/>
    </xf>
    <xf numFmtId="0" fontId="123" fillId="16" borderId="80" xfId="0" applyFont="1" applyFill="1" applyBorder="1" applyAlignment="1">
      <alignment horizontal="left" vertical="center" wrapText="1"/>
    </xf>
    <xf numFmtId="0" fontId="123" fillId="15" borderId="80" xfId="0" applyFont="1" applyFill="1" applyBorder="1" applyAlignment="1">
      <alignment horizontal="left" vertical="center" wrapText="1"/>
    </xf>
    <xf numFmtId="0" fontId="125" fillId="4" borderId="80" xfId="0" applyFont="1" applyFill="1" applyBorder="1" applyAlignment="1">
      <alignment horizontal="left" vertical="center" wrapText="1"/>
    </xf>
    <xf numFmtId="0" fontId="123" fillId="0" borderId="0" xfId="0" applyFont="1"/>
    <xf numFmtId="0" fontId="126" fillId="4" borderId="80" xfId="0" applyFont="1" applyFill="1" applyBorder="1" applyAlignment="1">
      <alignment horizontal="centerContinuous" vertical="center"/>
    </xf>
    <xf numFmtId="0" fontId="123" fillId="16" borderId="80" xfId="11" applyFont="1" applyFill="1" applyBorder="1" applyAlignment="1">
      <alignment horizontal="center" vertical="center" wrapText="1"/>
    </xf>
    <xf numFmtId="0" fontId="123" fillId="15" borderId="80" xfId="11" applyFont="1" applyFill="1" applyBorder="1" applyAlignment="1">
      <alignment horizontal="center" vertical="center" wrapText="1"/>
    </xf>
    <xf numFmtId="165" fontId="126" fillId="4" borderId="80" xfId="2" applyNumberFormat="1" applyFont="1" applyFill="1" applyBorder="1" applyAlignment="1">
      <alignment horizontal="center" vertical="center" wrapText="1"/>
    </xf>
    <xf numFmtId="165" fontId="126" fillId="4" borderId="80" xfId="2" applyNumberFormat="1" applyFont="1" applyFill="1" applyBorder="1" applyAlignment="1">
      <alignment horizontal="center" vertical="top" wrapText="1"/>
    </xf>
    <xf numFmtId="0" fontId="125" fillId="4" borderId="91" xfId="0" applyFont="1" applyFill="1" applyBorder="1" applyAlignment="1">
      <alignment horizontal="center" vertical="center" wrapText="1"/>
    </xf>
    <xf numFmtId="0" fontId="126" fillId="4" borderId="92" xfId="0" applyFont="1" applyFill="1" applyBorder="1" applyAlignment="1">
      <alignment horizontal="left" vertical="center" wrapText="1"/>
    </xf>
    <xf numFmtId="0" fontId="126" fillId="4" borderId="80" xfId="11" applyFont="1" applyFill="1" applyBorder="1" applyAlignment="1">
      <alignment horizontal="center" vertical="center" wrapText="1"/>
    </xf>
    <xf numFmtId="184" fontId="123" fillId="16" borderId="80" xfId="2" applyNumberFormat="1" applyFont="1" applyFill="1" applyBorder="1" applyAlignment="1">
      <alignment vertical="center" wrapText="1"/>
    </xf>
    <xf numFmtId="0" fontId="123" fillId="14" borderId="80" xfId="0" applyFont="1" applyFill="1" applyBorder="1" applyAlignment="1">
      <alignment vertical="center"/>
    </xf>
    <xf numFmtId="0" fontId="125" fillId="4" borderId="80" xfId="11" applyFont="1" applyFill="1" applyBorder="1" applyAlignment="1">
      <alignment horizontal="left" vertical="center" wrapText="1"/>
    </xf>
    <xf numFmtId="0" fontId="125" fillId="4" borderId="80" xfId="0" applyFont="1" applyFill="1" applyBorder="1" applyAlignment="1">
      <alignment horizontal="centerContinuous" vertical="center" wrapText="1"/>
    </xf>
    <xf numFmtId="0" fontId="123" fillId="16" borderId="80" xfId="11" applyFont="1" applyFill="1" applyBorder="1" applyAlignment="1">
      <alignment horizontal="left" vertical="center" wrapText="1"/>
    </xf>
    <xf numFmtId="0" fontId="123" fillId="15" borderId="80" xfId="11" applyFont="1" applyFill="1" applyBorder="1" applyAlignment="1">
      <alignment horizontal="left" vertical="center" wrapText="1"/>
    </xf>
    <xf numFmtId="0" fontId="125" fillId="4" borderId="80" xfId="11" applyFont="1" applyFill="1" applyBorder="1" applyAlignment="1">
      <alignment horizontal="center" vertical="center" wrapText="1"/>
    </xf>
    <xf numFmtId="0" fontId="126" fillId="4" borderId="80" xfId="11" applyFont="1" applyFill="1" applyBorder="1" applyAlignment="1">
      <alignment horizontal="centerContinuous" vertical="center"/>
    </xf>
    <xf numFmtId="0" fontId="125" fillId="4" borderId="80" xfId="0" applyFont="1" applyFill="1" applyBorder="1" applyAlignment="1">
      <alignment horizontal="centerContinuous" vertical="center"/>
    </xf>
    <xf numFmtId="0" fontId="133" fillId="0" borderId="0" xfId="0" applyFont="1"/>
    <xf numFmtId="0" fontId="123" fillId="0" borderId="0" xfId="0" applyFont="1" applyAlignment="1">
      <alignment vertical="top"/>
    </xf>
    <xf numFmtId="0" fontId="114" fillId="0" borderId="0" xfId="0" applyFont="1" applyAlignment="1">
      <alignment vertical="center"/>
    </xf>
    <xf numFmtId="0" fontId="136" fillId="0" borderId="0" xfId="0" applyFont="1" applyAlignment="1">
      <alignment vertical="center"/>
    </xf>
    <xf numFmtId="0" fontId="136" fillId="0" borderId="0" xfId="11" applyFont="1" applyAlignment="1">
      <alignment vertical="center"/>
    </xf>
    <xf numFmtId="0" fontId="134" fillId="0" borderId="0" xfId="0" applyFont="1"/>
    <xf numFmtId="0" fontId="140" fillId="0" borderId="0" xfId="11" applyFont="1" applyAlignment="1">
      <alignment vertical="center"/>
    </xf>
    <xf numFmtId="0" fontId="141" fillId="0" borderId="0" xfId="8" applyFont="1"/>
    <xf numFmtId="0" fontId="142" fillId="0" borderId="0" xfId="0" applyFont="1" applyAlignment="1">
      <alignment vertical="top"/>
    </xf>
    <xf numFmtId="0" fontId="143" fillId="0" borderId="0" xfId="8" applyFont="1"/>
    <xf numFmtId="167" fontId="113" fillId="28" borderId="80" xfId="2" applyNumberFormat="1" applyFont="1" applyFill="1" applyBorder="1" applyAlignment="1">
      <alignment horizontal="center" vertical="center"/>
    </xf>
    <xf numFmtId="3" fontId="113" fillId="28" borderId="80" xfId="2" applyNumberFormat="1" applyFont="1" applyFill="1" applyBorder="1" applyAlignment="1">
      <alignment horizontal="center" vertical="center"/>
    </xf>
    <xf numFmtId="166" fontId="69" fillId="28" borderId="80" xfId="11" applyNumberFormat="1" applyFont="1" applyFill="1" applyBorder="1" applyAlignment="1">
      <alignment horizontal="center" vertical="center" wrapText="1"/>
    </xf>
    <xf numFmtId="192" fontId="69" fillId="28" borderId="80" xfId="11" applyNumberFormat="1" applyFont="1" applyFill="1" applyBorder="1" applyAlignment="1">
      <alignment horizontal="center" vertical="center" wrapText="1"/>
    </xf>
    <xf numFmtId="173" fontId="113" fillId="28" borderId="80" xfId="2" applyNumberFormat="1" applyFont="1" applyFill="1" applyBorder="1" applyAlignment="1">
      <alignment horizontal="right" vertical="center"/>
    </xf>
    <xf numFmtId="173" fontId="113" fillId="28" borderId="80" xfId="2" applyNumberFormat="1" applyFont="1" applyFill="1" applyBorder="1" applyAlignment="1">
      <alignment vertical="center"/>
    </xf>
    <xf numFmtId="173" fontId="124" fillId="16" borderId="80" xfId="2" applyNumberFormat="1" applyFont="1" applyFill="1" applyBorder="1" applyAlignment="1">
      <alignment horizontal="right" vertical="center" indent="1"/>
    </xf>
    <xf numFmtId="173" fontId="123" fillId="15" borderId="80" xfId="2" applyNumberFormat="1" applyFont="1" applyFill="1" applyBorder="1" applyAlignment="1">
      <alignment horizontal="right" vertical="center" indent="1"/>
    </xf>
    <xf numFmtId="173" fontId="123" fillId="16" borderId="80" xfId="2" applyNumberFormat="1" applyFont="1" applyFill="1" applyBorder="1" applyAlignment="1">
      <alignment horizontal="right" vertical="center" indent="1"/>
    </xf>
    <xf numFmtId="173" fontId="125" fillId="14" borderId="80" xfId="2" applyNumberFormat="1" applyFont="1" applyFill="1" applyBorder="1" applyAlignment="1">
      <alignment horizontal="right" vertical="center" indent="1"/>
    </xf>
    <xf numFmtId="173" fontId="125" fillId="4" borderId="80" xfId="2" applyNumberFormat="1" applyFont="1" applyFill="1" applyBorder="1" applyAlignment="1">
      <alignment horizontal="right" vertical="center" indent="1"/>
    </xf>
    <xf numFmtId="173" fontId="123" fillId="16" borderId="80" xfId="0" applyNumberFormat="1" applyFont="1" applyFill="1" applyBorder="1" applyAlignment="1">
      <alignment horizontal="right" vertical="center" indent="1"/>
    </xf>
    <xf numFmtId="173" fontId="123" fillId="15" borderId="80" xfId="0" applyNumberFormat="1" applyFont="1" applyFill="1" applyBorder="1" applyAlignment="1">
      <alignment horizontal="right" vertical="center" indent="1"/>
    </xf>
    <xf numFmtId="173" fontId="125" fillId="4" borderId="80" xfId="0" applyNumberFormat="1" applyFont="1" applyFill="1" applyBorder="1" applyAlignment="1">
      <alignment horizontal="right" vertical="center" indent="1"/>
    </xf>
    <xf numFmtId="173" fontId="123" fillId="16" borderId="80" xfId="11" applyNumberFormat="1" applyFont="1" applyFill="1" applyBorder="1" applyAlignment="1">
      <alignment horizontal="right" vertical="center" indent="1"/>
    </xf>
    <xf numFmtId="173" fontId="123" fillId="15" borderId="80" xfId="11" applyNumberFormat="1" applyFont="1" applyFill="1" applyBorder="1" applyAlignment="1">
      <alignment horizontal="right" vertical="center" indent="1"/>
    </xf>
    <xf numFmtId="173" fontId="125" fillId="4" borderId="80" xfId="11" applyNumberFormat="1" applyFont="1" applyFill="1" applyBorder="1" applyAlignment="1">
      <alignment horizontal="right" vertical="center" indent="1"/>
    </xf>
    <xf numFmtId="184" fontId="69" fillId="20" borderId="80" xfId="2" applyNumberFormat="1" applyFont="1" applyFill="1" applyBorder="1" applyAlignment="1">
      <alignment horizontal="right" vertical="center" indent="1"/>
    </xf>
    <xf numFmtId="184" fontId="69" fillId="19" borderId="80" xfId="2" applyNumberFormat="1" applyFont="1" applyFill="1" applyBorder="1" applyAlignment="1">
      <alignment horizontal="right" vertical="center" indent="1"/>
    </xf>
    <xf numFmtId="0" fontId="113" fillId="28" borderId="80" xfId="11" applyFont="1" applyFill="1" applyBorder="1" applyAlignment="1">
      <alignment horizontal="right" vertical="justify" indent="1"/>
    </xf>
    <xf numFmtId="173" fontId="113" fillId="28" borderId="80" xfId="2" applyNumberFormat="1" applyFont="1" applyFill="1" applyBorder="1" applyAlignment="1">
      <alignment horizontal="right" vertical="justify" indent="1"/>
    </xf>
    <xf numFmtId="192" fontId="69" fillId="28" borderId="80" xfId="11" applyNumberFormat="1" applyFont="1" applyFill="1" applyBorder="1" applyAlignment="1">
      <alignment horizontal="right" vertical="center" wrapText="1" indent="1"/>
    </xf>
    <xf numFmtId="192" fontId="69" fillId="27" borderId="80" xfId="11" applyNumberFormat="1" applyFont="1" applyFill="1" applyBorder="1" applyAlignment="1">
      <alignment horizontal="right" vertical="center" wrapText="1" indent="2"/>
    </xf>
    <xf numFmtId="192" fontId="69" fillId="28" borderId="80" xfId="11" applyNumberFormat="1" applyFont="1" applyFill="1" applyBorder="1" applyAlignment="1">
      <alignment horizontal="right" vertical="center" wrapText="1" indent="2"/>
    </xf>
    <xf numFmtId="0" fontId="113" fillId="30" borderId="80" xfId="11" applyFont="1" applyFill="1" applyBorder="1" applyAlignment="1">
      <alignment horizontal="left" vertical="justify" indent="1"/>
    </xf>
    <xf numFmtId="0" fontId="113" fillId="31" borderId="80" xfId="11" applyFont="1" applyFill="1" applyBorder="1" applyAlignment="1">
      <alignment horizontal="left" vertical="justify" indent="1"/>
    </xf>
    <xf numFmtId="0" fontId="96" fillId="32" borderId="80" xfId="11" applyFont="1" applyFill="1" applyBorder="1" applyAlignment="1">
      <alignment vertical="center"/>
    </xf>
    <xf numFmtId="173" fontId="96" fillId="32" borderId="80" xfId="2" applyNumberFormat="1" applyFont="1" applyFill="1" applyBorder="1" applyAlignment="1">
      <alignment horizontal="right" vertical="center"/>
    </xf>
    <xf numFmtId="173" fontId="113" fillId="31" borderId="80" xfId="2" applyNumberFormat="1" applyFont="1" applyFill="1" applyBorder="1" applyAlignment="1">
      <alignment horizontal="right" vertical="center"/>
    </xf>
    <xf numFmtId="173" fontId="113" fillId="30" borderId="80" xfId="2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91" fontId="113" fillId="16" borderId="80" xfId="2" applyNumberFormat="1" applyFont="1" applyFill="1" applyBorder="1" applyAlignment="1">
      <alignment vertical="center"/>
    </xf>
    <xf numFmtId="193" fontId="112" fillId="4" borderId="80" xfId="2" applyNumberFormat="1" applyFont="1" applyFill="1" applyBorder="1" applyAlignment="1">
      <alignment horizontal="right" vertical="center"/>
    </xf>
    <xf numFmtId="191" fontId="113" fillId="15" borderId="80" xfId="2" applyNumberFormat="1" applyFont="1" applyFill="1" applyBorder="1" applyAlignment="1">
      <alignment vertical="center"/>
    </xf>
    <xf numFmtId="165" fontId="74" fillId="14" borderId="80" xfId="2" applyNumberFormat="1" applyFont="1" applyFill="1" applyBorder="1" applyAlignment="1">
      <alignment horizontal="center" vertical="center"/>
    </xf>
    <xf numFmtId="165" fontId="74" fillId="4" borderId="80" xfId="2" applyNumberFormat="1" applyFont="1" applyFill="1" applyBorder="1" applyAlignment="1">
      <alignment horizontal="center" vertical="center" wrapText="1"/>
    </xf>
    <xf numFmtId="165" fontId="76" fillId="14" borderId="80" xfId="2" applyNumberFormat="1" applyFont="1" applyFill="1" applyBorder="1" applyAlignment="1">
      <alignment horizontal="left" vertical="center"/>
    </xf>
    <xf numFmtId="0" fontId="112" fillId="29" borderId="80" xfId="11" applyFont="1" applyFill="1" applyBorder="1" applyAlignment="1">
      <alignment horizontal="left" vertical="center" wrapText="1"/>
    </xf>
    <xf numFmtId="184" fontId="112" fillId="29" borderId="80" xfId="2" applyNumberFormat="1" applyFont="1" applyFill="1" applyBorder="1" applyAlignment="1">
      <alignment vertical="center"/>
    </xf>
    <xf numFmtId="185" fontId="113" fillId="15" borderId="80" xfId="2" applyNumberFormat="1" applyFont="1" applyFill="1" applyBorder="1" applyAlignment="1">
      <alignment vertical="center"/>
    </xf>
    <xf numFmtId="185" fontId="113" fillId="16" borderId="80" xfId="2" applyNumberFormat="1" applyFont="1" applyFill="1" applyBorder="1" applyAlignment="1">
      <alignment vertical="center"/>
    </xf>
    <xf numFmtId="168" fontId="69" fillId="0" borderId="0" xfId="13" applyNumberFormat="1" applyFont="1" applyAlignment="1">
      <alignment vertical="center"/>
    </xf>
    <xf numFmtId="0" fontId="145" fillId="0" borderId="0" xfId="14" applyFont="1" applyAlignment="1">
      <alignment horizontal="justify" vertical="center"/>
    </xf>
    <xf numFmtId="0" fontId="146" fillId="0" borderId="0" xfId="14" applyFont="1" applyAlignment="1">
      <alignment vertical="center"/>
    </xf>
    <xf numFmtId="0" fontId="147" fillId="0" borderId="0" xfId="9" applyFont="1" applyAlignment="1">
      <alignment vertical="center" wrapText="1"/>
    </xf>
    <xf numFmtId="0" fontId="79" fillId="0" borderId="0" xfId="9" applyFont="1" applyAlignment="1">
      <alignment vertical="center" wrapText="1"/>
    </xf>
    <xf numFmtId="0" fontId="149" fillId="0" borderId="0" xfId="21" applyFont="1"/>
    <xf numFmtId="164" fontId="69" fillId="0" borderId="0" xfId="18" applyNumberFormat="1" applyFont="1"/>
    <xf numFmtId="166" fontId="149" fillId="0" borderId="0" xfId="21" applyNumberFormat="1" applyFont="1"/>
    <xf numFmtId="194" fontId="149" fillId="0" borderId="0" xfId="21" applyNumberFormat="1" applyFont="1"/>
    <xf numFmtId="0" fontId="150" fillId="0" borderId="0" xfId="14" applyFont="1"/>
    <xf numFmtId="0" fontId="151" fillId="0" borderId="0" xfId="14" applyFont="1"/>
    <xf numFmtId="172" fontId="69" fillId="0" borderId="0" xfId="23" applyNumberFormat="1" applyFont="1"/>
    <xf numFmtId="172" fontId="96" fillId="0" borderId="0" xfId="23" applyNumberFormat="1" applyFont="1"/>
    <xf numFmtId="172" fontId="99" fillId="0" borderId="0" xfId="23" applyNumberFormat="1" applyFont="1" applyAlignment="1">
      <alignment horizontal="center"/>
    </xf>
    <xf numFmtId="172" fontId="98" fillId="0" borderId="0" xfId="23" applyNumberFormat="1" applyFont="1"/>
    <xf numFmtId="172" fontId="152" fillId="0" borderId="0" xfId="23" applyNumberFormat="1" applyFont="1"/>
    <xf numFmtId="0" fontId="136" fillId="0" borderId="0" xfId="11" applyFont="1" applyAlignment="1">
      <alignment horizontal="justify" vertical="center" wrapText="1"/>
    </xf>
    <xf numFmtId="0" fontId="0" fillId="0" borderId="108" xfId="0" applyBorder="1" applyAlignment="1">
      <alignment vertical="center" wrapText="1"/>
    </xf>
    <xf numFmtId="0" fontId="69" fillId="0" borderId="0" xfId="14" applyFont="1"/>
    <xf numFmtId="0" fontId="13" fillId="0" borderId="0" xfId="22"/>
    <xf numFmtId="0" fontId="3" fillId="0" borderId="0" xfId="14"/>
    <xf numFmtId="0" fontId="154" fillId="34" borderId="0" xfId="14" applyFont="1" applyFill="1"/>
    <xf numFmtId="0" fontId="154" fillId="3" borderId="0" xfId="14" applyFont="1" applyFill="1"/>
    <xf numFmtId="0" fontId="154" fillId="0" borderId="0" xfId="14" applyFont="1"/>
    <xf numFmtId="0" fontId="108" fillId="26" borderId="116" xfId="14" applyFont="1" applyFill="1" applyBorder="1" applyAlignment="1">
      <alignment horizontal="center" vertical="center"/>
    </xf>
    <xf numFmtId="0" fontId="69" fillId="27" borderId="116" xfId="14" applyFont="1" applyFill="1" applyBorder="1" applyAlignment="1">
      <alignment horizontal="left" vertical="center"/>
    </xf>
    <xf numFmtId="0" fontId="69" fillId="27" borderId="116" xfId="14" applyFont="1" applyFill="1" applyBorder="1" applyAlignment="1">
      <alignment horizontal="center" vertical="center"/>
    </xf>
    <xf numFmtId="9" fontId="69" fillId="22" borderId="116" xfId="10" applyFont="1" applyFill="1" applyBorder="1" applyAlignment="1">
      <alignment horizontal="center" vertical="center"/>
    </xf>
    <xf numFmtId="0" fontId="69" fillId="33" borderId="116" xfId="14" applyFont="1" applyFill="1" applyBorder="1" applyAlignment="1">
      <alignment horizontal="left" vertical="center"/>
    </xf>
    <xf numFmtId="0" fontId="69" fillId="33" borderId="116" xfId="14" applyFont="1" applyFill="1" applyBorder="1" applyAlignment="1">
      <alignment horizontal="center" vertical="center"/>
    </xf>
    <xf numFmtId="9" fontId="69" fillId="21" borderId="116" xfId="10" applyFont="1" applyFill="1" applyBorder="1" applyAlignment="1">
      <alignment horizontal="center" vertical="center"/>
    </xf>
    <xf numFmtId="0" fontId="96" fillId="35" borderId="116" xfId="14" applyFont="1" applyFill="1" applyBorder="1" applyAlignment="1">
      <alignment horizontal="center" vertical="center"/>
    </xf>
    <xf numFmtId="9" fontId="96" fillId="36" borderId="116" xfId="10" applyFont="1" applyFill="1" applyBorder="1" applyAlignment="1">
      <alignment horizontal="center" vertical="center"/>
    </xf>
    <xf numFmtId="9" fontId="69" fillId="37" borderId="116" xfId="10" applyFont="1" applyFill="1" applyBorder="1" applyAlignment="1">
      <alignment horizontal="center" vertical="center"/>
    </xf>
    <xf numFmtId="0" fontId="96" fillId="36" borderId="116" xfId="14" applyFont="1" applyFill="1" applyBorder="1" applyAlignment="1">
      <alignment horizontal="center" vertical="center"/>
    </xf>
    <xf numFmtId="0" fontId="69" fillId="38" borderId="116" xfId="14" applyFont="1" applyFill="1" applyBorder="1" applyAlignment="1">
      <alignment horizontal="left" vertical="center"/>
    </xf>
    <xf numFmtId="0" fontId="69" fillId="38" borderId="116" xfId="14" applyFont="1" applyFill="1" applyBorder="1" applyAlignment="1">
      <alignment horizontal="center" vertical="center"/>
    </xf>
    <xf numFmtId="9" fontId="69" fillId="38" borderId="116" xfId="10" applyFont="1" applyFill="1" applyBorder="1" applyAlignment="1">
      <alignment horizontal="center" vertical="center"/>
    </xf>
    <xf numFmtId="0" fontId="69" fillId="27" borderId="116" xfId="14" applyFont="1" applyFill="1" applyBorder="1" applyAlignment="1">
      <alignment horizontal="left" vertical="center" wrapText="1"/>
    </xf>
    <xf numFmtId="0" fontId="69" fillId="33" borderId="117" xfId="14" applyFont="1" applyFill="1" applyBorder="1" applyAlignment="1">
      <alignment horizontal="left" vertical="center"/>
    </xf>
    <xf numFmtId="0" fontId="69" fillId="33" borderId="118" xfId="14" applyFont="1" applyFill="1" applyBorder="1" applyAlignment="1">
      <alignment horizontal="left" vertical="center"/>
    </xf>
    <xf numFmtId="0" fontId="154" fillId="3" borderId="0" xfId="14" applyFont="1" applyFill="1" applyBorder="1" applyAlignment="1">
      <alignment horizontal="justify" vertical="center" wrapText="1"/>
    </xf>
    <xf numFmtId="0" fontId="154" fillId="3" borderId="0" xfId="14" applyFont="1" applyFill="1" applyBorder="1" applyAlignment="1">
      <alignment horizontal="center" vertical="center"/>
    </xf>
    <xf numFmtId="9" fontId="154" fillId="3" borderId="0" xfId="10" applyFont="1" applyFill="1" applyBorder="1" applyAlignment="1">
      <alignment horizontal="center" vertical="center"/>
    </xf>
    <xf numFmtId="0" fontId="69" fillId="34" borderId="0" xfId="14" applyFont="1" applyFill="1"/>
    <xf numFmtId="0" fontId="96" fillId="39" borderId="116" xfId="14" applyFont="1" applyFill="1" applyBorder="1" applyAlignment="1">
      <alignment horizontal="center" vertical="center"/>
    </xf>
    <xf numFmtId="0" fontId="96" fillId="39" borderId="116" xfId="14" applyFont="1" applyFill="1" applyBorder="1" applyAlignment="1">
      <alignment horizontal="left" vertical="center"/>
    </xf>
    <xf numFmtId="9" fontId="96" fillId="39" borderId="116" xfId="10" applyFont="1" applyFill="1" applyBorder="1" applyAlignment="1">
      <alignment horizontal="center" vertical="center"/>
    </xf>
    <xf numFmtId="0" fontId="69" fillId="3" borderId="0" xfId="14" applyFont="1" applyFill="1"/>
    <xf numFmtId="0" fontId="69" fillId="39" borderId="0" xfId="14" applyFont="1" applyFill="1"/>
    <xf numFmtId="0" fontId="156" fillId="3" borderId="0" xfId="14" applyFont="1" applyFill="1"/>
    <xf numFmtId="0" fontId="139" fillId="0" borderId="0" xfId="11" applyFont="1" applyAlignment="1">
      <alignment vertical="center"/>
    </xf>
    <xf numFmtId="0" fontId="158" fillId="0" borderId="0" xfId="8" applyFont="1" applyAlignment="1">
      <alignment textRotation="90"/>
    </xf>
    <xf numFmtId="0" fontId="69" fillId="40" borderId="80" xfId="11" applyFont="1" applyFill="1" applyBorder="1" applyAlignment="1">
      <alignment horizontal="center" vertical="center" wrapText="1"/>
    </xf>
    <xf numFmtId="184" fontId="69" fillId="40" borderId="80" xfId="2" applyNumberFormat="1" applyFont="1" applyFill="1" applyBorder="1" applyAlignment="1">
      <alignment horizontal="right" vertical="center" indent="1"/>
    </xf>
    <xf numFmtId="0" fontId="138" fillId="0" borderId="0" xfId="11" applyFont="1" applyAlignment="1">
      <alignment vertical="center"/>
    </xf>
    <xf numFmtId="0" fontId="69" fillId="0" borderId="0" xfId="9" applyFont="1" applyBorder="1" applyAlignment="1">
      <alignment vertical="center"/>
    </xf>
    <xf numFmtId="0" fontId="72" fillId="0" borderId="0" xfId="9" applyFont="1" applyBorder="1" applyAlignment="1">
      <alignment vertical="center"/>
    </xf>
    <xf numFmtId="0" fontId="69" fillId="0" borderId="127" xfId="9" applyFont="1" applyBorder="1" applyAlignment="1">
      <alignment vertical="center"/>
    </xf>
    <xf numFmtId="0" fontId="69" fillId="0" borderId="128" xfId="9" applyFont="1" applyBorder="1" applyAlignment="1">
      <alignment vertical="center"/>
    </xf>
    <xf numFmtId="0" fontId="69" fillId="0" borderId="130" xfId="9" applyFont="1" applyBorder="1" applyAlignment="1">
      <alignment vertical="center"/>
    </xf>
    <xf numFmtId="0" fontId="69" fillId="0" borderId="131" xfId="9" applyFont="1" applyBorder="1" applyAlignment="1">
      <alignment vertical="center"/>
    </xf>
    <xf numFmtId="0" fontId="69" fillId="0" borderId="129" xfId="9" applyFont="1" applyBorder="1" applyAlignment="1">
      <alignment vertical="center"/>
    </xf>
    <xf numFmtId="0" fontId="69" fillId="0" borderId="135" xfId="9" applyFont="1" applyBorder="1" applyAlignment="1">
      <alignment vertical="center"/>
    </xf>
    <xf numFmtId="0" fontId="69" fillId="0" borderId="136" xfId="9" applyFont="1" applyBorder="1" applyAlignment="1">
      <alignment vertical="center"/>
    </xf>
    <xf numFmtId="0" fontId="72" fillId="0" borderId="135" xfId="9" applyFont="1" applyBorder="1" applyAlignment="1">
      <alignment vertical="center"/>
    </xf>
    <xf numFmtId="0" fontId="69" fillId="0" borderId="137" xfId="9" applyFont="1" applyBorder="1" applyAlignment="1">
      <alignment vertical="center"/>
    </xf>
    <xf numFmtId="0" fontId="69" fillId="0" borderId="138" xfId="9" applyFont="1" applyBorder="1" applyAlignment="1">
      <alignment vertical="center"/>
    </xf>
    <xf numFmtId="0" fontId="69" fillId="0" borderId="139" xfId="9" applyFont="1" applyBorder="1" applyAlignment="1">
      <alignment vertical="center"/>
    </xf>
    <xf numFmtId="164" fontId="96" fillId="40" borderId="80" xfId="12" applyNumberFormat="1" applyFont="1" applyFill="1" applyBorder="1" applyAlignment="1">
      <alignment horizontal="center" vertical="center" wrapText="1"/>
    </xf>
    <xf numFmtId="0" fontId="96" fillId="24" borderId="89" xfId="9" applyFont="1" applyFill="1" applyBorder="1" applyAlignment="1">
      <alignment horizontal="center" vertical="center" wrapText="1"/>
    </xf>
    <xf numFmtId="164" fontId="96" fillId="24" borderId="80" xfId="12" applyNumberFormat="1" applyFont="1" applyFill="1" applyBorder="1" applyAlignment="1">
      <alignment horizontal="center" vertical="center" wrapText="1"/>
    </xf>
    <xf numFmtId="0" fontId="96" fillId="40" borderId="89" xfId="9" applyFont="1" applyFill="1" applyBorder="1" applyAlignment="1">
      <alignment horizontal="center" vertical="center" wrapText="1"/>
    </xf>
    <xf numFmtId="0" fontId="159" fillId="0" borderId="0" xfId="21" applyFont="1"/>
    <xf numFmtId="0" fontId="149" fillId="0" borderId="135" xfId="21" applyFont="1" applyBorder="1"/>
    <xf numFmtId="0" fontId="149" fillId="0" borderId="0" xfId="21" applyFont="1" applyBorder="1"/>
    <xf numFmtId="0" fontId="149" fillId="0" borderId="136" xfId="21" applyFont="1" applyBorder="1"/>
    <xf numFmtId="0" fontId="149" fillId="0" borderId="137" xfId="21" applyFont="1" applyBorder="1"/>
    <xf numFmtId="0" fontId="149" fillId="0" borderId="138" xfId="21" applyFont="1" applyBorder="1"/>
    <xf numFmtId="0" fontId="149" fillId="0" borderId="139" xfId="21" applyFont="1" applyBorder="1"/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92" fillId="2" borderId="80" xfId="0" applyFont="1" applyFill="1" applyBorder="1" applyAlignment="1">
      <alignment horizontal="center" vertical="center" wrapText="1"/>
    </xf>
    <xf numFmtId="0" fontId="89" fillId="2" borderId="80" xfId="0" applyFont="1" applyFill="1" applyBorder="1" applyAlignment="1">
      <alignment horizontal="center" vertical="center" wrapText="1"/>
    </xf>
    <xf numFmtId="164" fontId="69" fillId="28" borderId="80" xfId="2" applyNumberFormat="1" applyFont="1" applyFill="1" applyBorder="1" applyAlignment="1">
      <alignment vertical="center" wrapText="1"/>
    </xf>
    <xf numFmtId="173" fontId="69" fillId="28" borderId="80" xfId="2" applyNumberFormat="1" applyFont="1" applyFill="1" applyBorder="1" applyAlignment="1">
      <alignment horizontal="right" vertical="justify" indent="1"/>
    </xf>
    <xf numFmtId="173" fontId="69" fillId="28" borderId="80" xfId="11" applyNumberFormat="1" applyFont="1" applyFill="1" applyBorder="1" applyAlignment="1">
      <alignment horizontal="right" vertical="justify" indent="1"/>
    </xf>
    <xf numFmtId="0" fontId="92" fillId="0" borderId="0" xfId="0" applyFont="1" applyAlignment="1">
      <alignment vertical="top"/>
    </xf>
    <xf numFmtId="0" fontId="69" fillId="0" borderId="0" xfId="0" applyFont="1" applyBorder="1"/>
    <xf numFmtId="0" fontId="106" fillId="0" borderId="127" xfId="4" applyBorder="1"/>
    <xf numFmtId="0" fontId="106" fillId="0" borderId="0" xfId="4" applyBorder="1"/>
    <xf numFmtId="0" fontId="106" fillId="0" borderId="128" xfId="4" applyBorder="1"/>
    <xf numFmtId="0" fontId="106" fillId="0" borderId="129" xfId="4" applyBorder="1"/>
    <xf numFmtId="0" fontId="106" fillId="0" borderId="130" xfId="4" applyBorder="1"/>
    <xf numFmtId="0" fontId="106" fillId="0" borderId="131" xfId="4" applyBorder="1"/>
    <xf numFmtId="0" fontId="69" fillId="0" borderId="127" xfId="14" applyFont="1" applyBorder="1"/>
    <xf numFmtId="0" fontId="69" fillId="0" borderId="0" xfId="14" applyFont="1" applyBorder="1"/>
    <xf numFmtId="0" fontId="69" fillId="0" borderId="128" xfId="14" applyFont="1" applyBorder="1"/>
    <xf numFmtId="0" fontId="69" fillId="0" borderId="129" xfId="14" applyFont="1" applyBorder="1"/>
    <xf numFmtId="0" fontId="69" fillId="0" borderId="130" xfId="14" applyFont="1" applyBorder="1"/>
    <xf numFmtId="0" fontId="69" fillId="0" borderId="131" xfId="14" applyFont="1" applyBorder="1"/>
    <xf numFmtId="0" fontId="3" fillId="0" borderId="0" xfId="14" applyBorder="1"/>
    <xf numFmtId="0" fontId="121" fillId="28" borderId="116" xfId="14" applyFont="1" applyFill="1" applyBorder="1" applyAlignment="1">
      <alignment horizontal="center" vertical="center"/>
    </xf>
    <xf numFmtId="0" fontId="96" fillId="27" borderId="116" xfId="14" applyFont="1" applyFill="1" applyBorder="1" applyAlignment="1">
      <alignment horizontal="center" vertical="center"/>
    </xf>
    <xf numFmtId="0" fontId="96" fillId="33" borderId="116" xfId="14" applyFont="1" applyFill="1" applyBorder="1" applyAlignment="1">
      <alignment horizontal="center" vertical="center"/>
    </xf>
    <xf numFmtId="0" fontId="96" fillId="38" borderId="116" xfId="14" applyFont="1" applyFill="1" applyBorder="1" applyAlignment="1">
      <alignment horizontal="center" vertical="center"/>
    </xf>
    <xf numFmtId="0" fontId="111" fillId="25" borderId="127" xfId="11" applyFont="1" applyFill="1" applyBorder="1" applyAlignment="1">
      <alignment horizontal="left"/>
    </xf>
    <xf numFmtId="0" fontId="108" fillId="25" borderId="0" xfId="11" applyFont="1" applyFill="1" applyBorder="1" applyAlignment="1">
      <alignment horizontal="centerContinuous" vertical="center"/>
    </xf>
    <xf numFmtId="0" fontId="111" fillId="25" borderId="0" xfId="11" applyFont="1" applyFill="1" applyBorder="1" applyAlignment="1">
      <alignment horizontal="left"/>
    </xf>
    <xf numFmtId="0" fontId="108" fillId="25" borderId="128" xfId="11" applyFont="1" applyFill="1" applyBorder="1" applyAlignment="1">
      <alignment horizontal="centerContinuous" vertical="center"/>
    </xf>
    <xf numFmtId="0" fontId="20" fillId="42" borderId="1" xfId="14" applyFont="1" applyFill="1" applyBorder="1" applyAlignment="1">
      <alignment horizontal="center" vertical="center" wrapText="1"/>
    </xf>
    <xf numFmtId="2" fontId="20" fillId="42" borderId="1" xfId="14" applyNumberFormat="1" applyFont="1" applyFill="1" applyBorder="1" applyAlignment="1">
      <alignment horizontal="center" vertical="center" wrapText="1"/>
    </xf>
    <xf numFmtId="2" fontId="20" fillId="43" borderId="1" xfId="14" applyNumberFormat="1" applyFont="1" applyFill="1" applyBorder="1" applyAlignment="1">
      <alignment horizontal="center" vertical="center" wrapText="1"/>
    </xf>
    <xf numFmtId="2" fontId="20" fillId="44" borderId="1" xfId="14" applyNumberFormat="1" applyFont="1" applyFill="1" applyBorder="1" applyAlignment="1">
      <alignment horizontal="center" vertical="center" wrapText="1"/>
    </xf>
    <xf numFmtId="2" fontId="20" fillId="45" borderId="1" xfId="14" applyNumberFormat="1" applyFont="1" applyFill="1" applyBorder="1" applyAlignment="1">
      <alignment horizontal="center" vertical="center" wrapText="1"/>
    </xf>
    <xf numFmtId="0" fontId="20" fillId="46" borderId="1" xfId="14" applyFont="1" applyFill="1" applyBorder="1" applyAlignment="1">
      <alignment horizontal="left" vertical="center"/>
    </xf>
    <xf numFmtId="2" fontId="20" fillId="13" borderId="1" xfId="14" applyNumberFormat="1" applyFont="1" applyFill="1" applyBorder="1" applyAlignment="1">
      <alignment horizontal="center"/>
    </xf>
    <xf numFmtId="2" fontId="20" fillId="13" borderId="1" xfId="14" applyNumberFormat="1" applyFont="1" applyFill="1" applyBorder="1" applyAlignment="1">
      <alignment horizontal="center" vertical="center"/>
    </xf>
    <xf numFmtId="2" fontId="3" fillId="0" borderId="0" xfId="14" applyNumberFormat="1"/>
    <xf numFmtId="0" fontId="20" fillId="13" borderId="1" xfId="14" applyFont="1" applyFill="1" applyBorder="1" applyAlignment="1">
      <alignment horizontal="center"/>
    </xf>
    <xf numFmtId="0" fontId="3" fillId="13" borderId="1" xfId="14" applyFill="1" applyBorder="1"/>
    <xf numFmtId="2" fontId="20" fillId="13" borderId="0" xfId="14" applyNumberFormat="1" applyFont="1" applyFill="1" applyAlignment="1">
      <alignment horizontal="center"/>
    </xf>
    <xf numFmtId="0" fontId="20" fillId="13" borderId="1" xfId="14" applyFont="1" applyFill="1" applyBorder="1" applyAlignment="1">
      <alignment horizontal="left" vertical="center"/>
    </xf>
    <xf numFmtId="168" fontId="0" fillId="0" borderId="0" xfId="25" applyNumberFormat="1" applyFont="1"/>
    <xf numFmtId="0" fontId="3" fillId="0" borderId="0" xfId="14" applyFont="1"/>
    <xf numFmtId="2" fontId="20" fillId="0" borderId="0" xfId="14" applyNumberFormat="1" applyFont="1" applyFill="1" applyBorder="1" applyAlignment="1">
      <alignment horizontal="center"/>
    </xf>
    <xf numFmtId="164" fontId="164" fillId="47" borderId="153" xfId="19" applyNumberFormat="1" applyFont="1" applyFill="1" applyBorder="1" applyAlignment="1">
      <alignment horizontal="center" vertical="center" wrapText="1"/>
    </xf>
    <xf numFmtId="0" fontId="164" fillId="47" borderId="153" xfId="22" applyFont="1" applyFill="1" applyBorder="1" applyAlignment="1">
      <alignment horizontal="center" vertical="center" wrapText="1"/>
    </xf>
    <xf numFmtId="164" fontId="164" fillId="47" borderId="153" xfId="22" applyNumberFormat="1" applyFont="1" applyFill="1" applyBorder="1" applyAlignment="1">
      <alignment horizontal="center" vertical="center" wrapText="1"/>
    </xf>
    <xf numFmtId="0" fontId="164" fillId="47" borderId="154" xfId="22" applyFont="1" applyFill="1" applyBorder="1" applyAlignment="1">
      <alignment horizontal="center" vertical="center" wrapText="1"/>
    </xf>
    <xf numFmtId="0" fontId="167" fillId="34" borderId="155" xfId="22" applyFont="1" applyFill="1" applyBorder="1"/>
    <xf numFmtId="164" fontId="168" fillId="34" borderId="156" xfId="19" applyNumberFormat="1" applyFont="1" applyFill="1" applyBorder="1"/>
    <xf numFmtId="164" fontId="0" fillId="0" borderId="0" xfId="19" applyNumberFormat="1" applyFont="1"/>
    <xf numFmtId="164" fontId="13" fillId="0" borderId="0" xfId="22" applyNumberFormat="1"/>
    <xf numFmtId="164" fontId="13" fillId="0" borderId="0" xfId="22" applyNumberFormat="1" applyFont="1"/>
    <xf numFmtId="0" fontId="13" fillId="0" borderId="0" xfId="22" applyFont="1"/>
    <xf numFmtId="2" fontId="13" fillId="0" borderId="0" xfId="22" applyNumberFormat="1"/>
    <xf numFmtId="164" fontId="13" fillId="0" borderId="0" xfId="19" applyNumberFormat="1" applyFont="1"/>
    <xf numFmtId="203" fontId="13" fillId="0" borderId="0" xfId="22" applyNumberFormat="1"/>
    <xf numFmtId="0" fontId="96" fillId="0" borderId="0" xfId="0" applyFont="1"/>
    <xf numFmtId="0" fontId="111" fillId="25" borderId="160" xfId="11" applyFont="1" applyFill="1" applyBorder="1" applyAlignment="1">
      <alignment horizontal="left"/>
    </xf>
    <xf numFmtId="0" fontId="108" fillId="25" borderId="161" xfId="11" applyFont="1" applyFill="1" applyBorder="1" applyAlignment="1">
      <alignment horizontal="centerContinuous" vertical="center"/>
    </xf>
    <xf numFmtId="0" fontId="69" fillId="0" borderId="160" xfId="0" applyFont="1" applyBorder="1"/>
    <xf numFmtId="0" fontId="69" fillId="0" borderId="161" xfId="0" applyFont="1" applyBorder="1"/>
    <xf numFmtId="0" fontId="69" fillId="0" borderId="162" xfId="0" applyFont="1" applyBorder="1"/>
    <xf numFmtId="0" fontId="69" fillId="0" borderId="163" xfId="0" applyFont="1" applyBorder="1"/>
    <xf numFmtId="0" fontId="69" fillId="0" borderId="164" xfId="0" applyFont="1" applyBorder="1"/>
    <xf numFmtId="0" fontId="3" fillId="0" borderId="165" xfId="14" applyBorder="1"/>
    <xf numFmtId="0" fontId="3" fillId="0" borderId="166" xfId="14" applyBorder="1"/>
    <xf numFmtId="0" fontId="3" fillId="0" borderId="167" xfId="14" applyBorder="1"/>
    <xf numFmtId="0" fontId="3" fillId="0" borderId="168" xfId="14" applyBorder="1"/>
    <xf numFmtId="0" fontId="3" fillId="0" borderId="169" xfId="14" applyBorder="1"/>
    <xf numFmtId="0" fontId="160" fillId="34" borderId="0" xfId="0" applyFont="1" applyFill="1" applyBorder="1" applyAlignment="1">
      <alignment horizontal="center"/>
    </xf>
    <xf numFmtId="169" fontId="160" fillId="34" borderId="0" xfId="27" applyFont="1" applyFill="1" applyBorder="1" applyAlignment="1">
      <alignment horizontal="center"/>
    </xf>
    <xf numFmtId="0" fontId="69" fillId="34" borderId="0" xfId="0" applyFont="1" applyFill="1" applyBorder="1"/>
    <xf numFmtId="165" fontId="160" fillId="34" borderId="0" xfId="2" applyNumberFormat="1" applyFont="1" applyFill="1" applyBorder="1" applyAlignment="1">
      <alignment horizontal="center"/>
    </xf>
    <xf numFmtId="0" fontId="68" fillId="34" borderId="0" xfId="0" applyFont="1" applyFill="1" applyBorder="1" applyAlignment="1">
      <alignment horizontal="left"/>
    </xf>
    <xf numFmtId="200" fontId="68" fillId="34" borderId="0" xfId="0" applyNumberFormat="1" applyFont="1" applyFill="1" applyBorder="1" applyAlignment="1">
      <alignment horizontal="right"/>
    </xf>
    <xf numFmtId="169" fontId="68" fillId="34" borderId="0" xfId="27" applyFont="1" applyFill="1" applyBorder="1" applyAlignment="1">
      <alignment horizontal="right"/>
    </xf>
    <xf numFmtId="165" fontId="69" fillId="34" borderId="0" xfId="2" applyNumberFormat="1" applyFont="1" applyFill="1" applyBorder="1"/>
    <xf numFmtId="2" fontId="69" fillId="34" borderId="0" xfId="0" applyNumberFormat="1" applyFont="1" applyFill="1" applyBorder="1"/>
    <xf numFmtId="0" fontId="69" fillId="34" borderId="0" xfId="0" applyFont="1" applyFill="1" applyBorder="1" applyProtection="1">
      <protection locked="0"/>
    </xf>
    <xf numFmtId="0" fontId="72" fillId="34" borderId="0" xfId="0" applyFont="1" applyFill="1" applyBorder="1" applyAlignment="1" applyProtection="1">
      <protection locked="0"/>
    </xf>
    <xf numFmtId="0" fontId="72" fillId="34" borderId="0" xfId="0" applyFont="1" applyFill="1" applyBorder="1" applyProtection="1">
      <protection locked="0"/>
    </xf>
    <xf numFmtId="0" fontId="81" fillId="34" borderId="0" xfId="0" applyFont="1" applyFill="1" applyBorder="1" applyAlignment="1">
      <alignment horizontal="left"/>
    </xf>
    <xf numFmtId="200" fontId="81" fillId="34" borderId="0" xfId="0" applyNumberFormat="1" applyFont="1" applyFill="1" applyBorder="1" applyAlignment="1">
      <alignment horizontal="right"/>
    </xf>
    <xf numFmtId="201" fontId="81" fillId="34" borderId="0" xfId="27" applyNumberFormat="1" applyFont="1" applyFill="1" applyBorder="1" applyAlignment="1">
      <alignment horizontal="right"/>
    </xf>
    <xf numFmtId="165" fontId="81" fillId="34" borderId="0" xfId="2" applyNumberFormat="1" applyFont="1" applyFill="1" applyBorder="1" applyAlignment="1">
      <alignment horizontal="right"/>
    </xf>
    <xf numFmtId="169" fontId="69" fillId="34" borderId="0" xfId="27" applyFont="1" applyFill="1" applyBorder="1"/>
    <xf numFmtId="0" fontId="79" fillId="34" borderId="0" xfId="0" applyFont="1" applyFill="1" applyBorder="1" applyAlignment="1">
      <alignment wrapText="1"/>
    </xf>
    <xf numFmtId="0" fontId="69" fillId="34" borderId="173" xfId="0" applyFont="1" applyFill="1" applyBorder="1"/>
    <xf numFmtId="0" fontId="69" fillId="34" borderId="174" xfId="0" applyFont="1" applyFill="1" applyBorder="1" applyProtection="1">
      <protection locked="0"/>
    </xf>
    <xf numFmtId="0" fontId="69" fillId="34" borderId="175" xfId="0" applyFont="1" applyFill="1" applyBorder="1"/>
    <xf numFmtId="0" fontId="69" fillId="34" borderId="176" xfId="0" applyFont="1" applyFill="1" applyBorder="1"/>
    <xf numFmtId="0" fontId="69" fillId="34" borderId="176" xfId="0" applyFont="1" applyFill="1" applyBorder="1" applyProtection="1">
      <protection locked="0"/>
    </xf>
    <xf numFmtId="0" fontId="69" fillId="34" borderId="177" xfId="0" applyFont="1" applyFill="1" applyBorder="1" applyProtection="1">
      <protection locked="0"/>
    </xf>
    <xf numFmtId="166" fontId="69" fillId="0" borderId="0" xfId="14" applyNumberFormat="1" applyFont="1"/>
    <xf numFmtId="0" fontId="96" fillId="0" borderId="0" xfId="0" applyFont="1" applyAlignment="1">
      <alignment horizontal="center"/>
    </xf>
    <xf numFmtId="202" fontId="69" fillId="0" borderId="0" xfId="0" applyNumberFormat="1" applyFont="1"/>
    <xf numFmtId="202" fontId="96" fillId="0" borderId="0" xfId="0" applyNumberFormat="1" applyFont="1"/>
    <xf numFmtId="0" fontId="0" fillId="0" borderId="173" xfId="0" applyBorder="1"/>
    <xf numFmtId="0" fontId="0" fillId="0" borderId="174" xfId="0" applyBorder="1"/>
    <xf numFmtId="0" fontId="58" fillId="0" borderId="173" xfId="0" applyFont="1" applyBorder="1" applyAlignment="1"/>
    <xf numFmtId="0" fontId="169" fillId="0" borderId="173" xfId="0" applyFont="1" applyBorder="1" applyAlignment="1">
      <alignment vertical="center"/>
    </xf>
    <xf numFmtId="0" fontId="0" fillId="0" borderId="175" xfId="0" applyBorder="1"/>
    <xf numFmtId="0" fontId="0" fillId="0" borderId="176" xfId="0" applyBorder="1"/>
    <xf numFmtId="0" fontId="0" fillId="0" borderId="177" xfId="0" applyBorder="1"/>
    <xf numFmtId="0" fontId="126" fillId="4" borderId="80" xfId="0" applyFont="1" applyFill="1" applyBorder="1" applyAlignment="1">
      <alignment horizontal="center" vertical="center" wrapText="1"/>
    </xf>
    <xf numFmtId="43" fontId="0" fillId="0" borderId="0" xfId="2" applyFont="1"/>
    <xf numFmtId="173" fontId="0" fillId="0" borderId="0" xfId="0" applyNumberFormat="1"/>
    <xf numFmtId="173" fontId="72" fillId="0" borderId="0" xfId="11" applyNumberFormat="1" applyFont="1" applyBorder="1" applyAlignment="1">
      <alignment horizontal="justify" vertical="top"/>
    </xf>
    <xf numFmtId="0" fontId="170" fillId="0" borderId="0" xfId="0" applyFont="1" applyAlignment="1">
      <alignment vertical="top" wrapText="1"/>
    </xf>
    <xf numFmtId="173" fontId="0" fillId="0" borderId="0" xfId="0" applyNumberFormat="1" applyAlignment="1">
      <alignment vertical="center"/>
    </xf>
    <xf numFmtId="0" fontId="67" fillId="0" borderId="0" xfId="14" applyFont="1" applyFill="1" applyAlignment="1">
      <alignment horizontal="centerContinuous" vertical="center"/>
    </xf>
    <xf numFmtId="0" fontId="66" fillId="0" borderId="0" xfId="14" applyFont="1" applyFill="1" applyAlignment="1">
      <alignment horizontal="centerContinuous" vertical="center"/>
    </xf>
    <xf numFmtId="0" fontId="66" fillId="0" borderId="0" xfId="14" applyFont="1" applyFill="1"/>
    <xf numFmtId="0" fontId="82" fillId="0" borderId="0" xfId="14" applyFont="1"/>
    <xf numFmtId="43" fontId="175" fillId="0" borderId="0" xfId="14" applyNumberFormat="1" applyFont="1"/>
    <xf numFmtId="3" fontId="91" fillId="0" borderId="0" xfId="14" applyNumberFormat="1" applyFont="1"/>
    <xf numFmtId="0" fontId="91" fillId="0" borderId="0" xfId="14" applyFont="1"/>
    <xf numFmtId="0" fontId="68" fillId="0" borderId="0" xfId="14" applyFont="1"/>
    <xf numFmtId="0" fontId="79" fillId="0" borderId="0" xfId="14" applyFont="1" applyAlignment="1">
      <alignment wrapText="1"/>
    </xf>
    <xf numFmtId="0" fontId="177" fillId="0" borderId="0" xfId="8" applyFont="1" applyFill="1" applyAlignment="1">
      <alignment horizontal="center"/>
    </xf>
    <xf numFmtId="0" fontId="178" fillId="0" borderId="0" xfId="8" applyFont="1" applyFill="1" applyAlignment="1">
      <alignment horizontal="center"/>
    </xf>
    <xf numFmtId="0" fontId="69" fillId="0" borderId="0" xfId="8" applyFont="1"/>
    <xf numFmtId="0" fontId="179" fillId="0" borderId="0" xfId="8" applyFont="1" applyAlignment="1"/>
    <xf numFmtId="0" fontId="69" fillId="0" borderId="0" xfId="8" applyFont="1" applyFill="1"/>
    <xf numFmtId="0" fontId="69" fillId="0" borderId="0" xfId="8" applyFont="1" applyFill="1" applyBorder="1"/>
    <xf numFmtId="168" fontId="174" fillId="0" borderId="0" xfId="10" applyNumberFormat="1" applyFont="1" applyFill="1" applyBorder="1" applyAlignment="1">
      <alignment horizontal="center" wrapText="1"/>
    </xf>
    <xf numFmtId="0" fontId="72" fillId="0" borderId="0" xfId="8" applyFont="1" applyAlignment="1"/>
    <xf numFmtId="0" fontId="72" fillId="0" borderId="0" xfId="8" applyFont="1"/>
    <xf numFmtId="0" fontId="180" fillId="0" borderId="0" xfId="8" applyFont="1" applyFill="1" applyAlignment="1">
      <alignment horizontal="center"/>
    </xf>
    <xf numFmtId="0" fontId="181" fillId="0" borderId="0" xfId="8" applyFont="1"/>
    <xf numFmtId="168" fontId="173" fillId="0" borderId="0" xfId="10" applyNumberFormat="1" applyFont="1" applyFill="1" applyBorder="1" applyAlignment="1">
      <alignment horizontal="center" vertical="center" wrapText="1"/>
    </xf>
    <xf numFmtId="172" fontId="66" fillId="0" borderId="0" xfId="30" applyFont="1" applyFill="1"/>
    <xf numFmtId="172" fontId="182" fillId="0" borderId="0" xfId="30" applyFont="1" applyAlignment="1">
      <alignment horizontal="centerContinuous"/>
    </xf>
    <xf numFmtId="172" fontId="69" fillId="0" borderId="0" xfId="30" applyFont="1"/>
    <xf numFmtId="164" fontId="182" fillId="0" borderId="80" xfId="2" applyNumberFormat="1" applyFont="1" applyFill="1" applyBorder="1" applyAlignment="1">
      <alignment vertical="center"/>
    </xf>
    <xf numFmtId="169" fontId="82" fillId="0" borderId="0" xfId="28" applyFont="1"/>
    <xf numFmtId="167" fontId="182" fillId="0" borderId="0" xfId="30" applyNumberFormat="1" applyFont="1" applyBorder="1"/>
    <xf numFmtId="172" fontId="72" fillId="0" borderId="0" xfId="30" applyFont="1" applyAlignment="1"/>
    <xf numFmtId="172" fontId="72" fillId="0" borderId="0" xfId="30" applyFont="1"/>
    <xf numFmtId="167" fontId="182" fillId="0" borderId="80" xfId="30" applyNumberFormat="1" applyFont="1" applyBorder="1"/>
    <xf numFmtId="167" fontId="186" fillId="0" borderId="80" xfId="30" applyNumberFormat="1" applyFont="1" applyBorder="1"/>
    <xf numFmtId="164" fontId="187" fillId="0" borderId="80" xfId="2" applyNumberFormat="1" applyFont="1" applyFill="1" applyBorder="1" applyAlignment="1">
      <alignment vertical="center"/>
    </xf>
    <xf numFmtId="172" fontId="182" fillId="0" borderId="0" xfId="30" applyFont="1" applyBorder="1" applyAlignment="1">
      <alignment vertical="center"/>
    </xf>
    <xf numFmtId="172" fontId="79" fillId="0" borderId="0" xfId="30" applyFont="1" applyAlignment="1">
      <alignment wrapText="1"/>
    </xf>
    <xf numFmtId="0" fontId="182" fillId="0" borderId="0" xfId="14" applyFont="1" applyAlignment="1">
      <alignment horizontal="justify" vertical="top"/>
    </xf>
    <xf numFmtId="0" fontId="187" fillId="0" borderId="0" xfId="14" applyFont="1" applyBorder="1" applyAlignment="1">
      <alignment vertical="top"/>
    </xf>
    <xf numFmtId="0" fontId="83" fillId="0" borderId="0" xfId="14" applyFont="1" applyBorder="1" applyAlignment="1">
      <alignment vertical="top"/>
    </xf>
    <xf numFmtId="172" fontId="69" fillId="0" borderId="0" xfId="30" applyFont="1" applyProtection="1"/>
    <xf numFmtId="0" fontId="135" fillId="0" borderId="0" xfId="0" applyFont="1" applyAlignment="1">
      <alignment vertical="center"/>
    </xf>
    <xf numFmtId="0" fontId="69" fillId="20" borderId="80" xfId="11" applyFont="1" applyFill="1" applyBorder="1" applyAlignment="1">
      <alignment horizontal="left" vertical="center" wrapText="1"/>
    </xf>
    <xf numFmtId="164" fontId="69" fillId="20" borderId="80" xfId="2" applyNumberFormat="1" applyFont="1" applyFill="1" applyBorder="1" applyAlignment="1">
      <alignment horizontal="center" vertical="center" wrapText="1"/>
    </xf>
    <xf numFmtId="205" fontId="69" fillId="20" borderId="80" xfId="2" applyNumberFormat="1" applyFont="1" applyFill="1" applyBorder="1" applyAlignment="1">
      <alignment horizontal="right" vertical="center" wrapText="1" indent="1"/>
    </xf>
    <xf numFmtId="0" fontId="69" fillId="19" borderId="80" xfId="11" applyFont="1" applyFill="1" applyBorder="1" applyAlignment="1">
      <alignment horizontal="left" vertical="center" wrapText="1"/>
    </xf>
    <xf numFmtId="164" fontId="69" fillId="19" borderId="80" xfId="2" applyNumberFormat="1" applyFont="1" applyFill="1" applyBorder="1" applyAlignment="1">
      <alignment horizontal="center" vertical="center" wrapText="1"/>
    </xf>
    <xf numFmtId="205" fontId="69" fillId="19" borderId="80" xfId="2" applyNumberFormat="1" applyFont="1" applyFill="1" applyBorder="1" applyAlignment="1">
      <alignment horizontal="right" vertical="center" wrapText="1" indent="1"/>
    </xf>
    <xf numFmtId="164" fontId="69" fillId="20" borderId="90" xfId="2" applyNumberFormat="1" applyFont="1" applyFill="1" applyBorder="1" applyAlignment="1">
      <alignment horizontal="center" vertical="center" wrapText="1"/>
    </xf>
    <xf numFmtId="205" fontId="69" fillId="20" borderId="90" xfId="2" applyNumberFormat="1" applyFont="1" applyFill="1" applyBorder="1" applyAlignment="1">
      <alignment horizontal="right" vertical="center" wrapText="1" indent="1"/>
    </xf>
    <xf numFmtId="168" fontId="69" fillId="52" borderId="190" xfId="2" applyNumberFormat="1" applyFont="1" applyFill="1" applyBorder="1" applyAlignment="1">
      <alignment horizontal="right" vertical="center" wrapText="1"/>
    </xf>
    <xf numFmtId="168" fontId="69" fillId="51" borderId="80" xfId="2" applyNumberFormat="1" applyFont="1" applyFill="1" applyBorder="1" applyAlignment="1">
      <alignment horizontal="right" vertical="center" wrapText="1"/>
    </xf>
    <xf numFmtId="0" fontId="188" fillId="23" borderId="93" xfId="11" applyFont="1" applyFill="1" applyBorder="1" applyAlignment="1">
      <alignment vertical="center" wrapText="1"/>
    </xf>
    <xf numFmtId="184" fontId="69" fillId="40" borderId="90" xfId="2" applyNumberFormat="1" applyFont="1" applyFill="1" applyBorder="1" applyAlignment="1">
      <alignment horizontal="left" vertical="center"/>
    </xf>
    <xf numFmtId="164" fontId="186" fillId="40" borderId="80" xfId="2" applyNumberFormat="1" applyFont="1" applyFill="1" applyBorder="1" applyAlignment="1">
      <alignment vertical="center"/>
    </xf>
    <xf numFmtId="172" fontId="182" fillId="34" borderId="0" xfId="30" applyFont="1" applyFill="1" applyAlignment="1">
      <alignment horizontal="centerContinuous"/>
    </xf>
    <xf numFmtId="0" fontId="82" fillId="0" borderId="0" xfId="11" applyFont="1" applyAlignment="1">
      <alignment vertical="center"/>
    </xf>
    <xf numFmtId="0" fontId="83" fillId="0" borderId="0" xfId="11" applyFont="1" applyAlignment="1">
      <alignment vertical="center"/>
    </xf>
    <xf numFmtId="0" fontId="121" fillId="18" borderId="80" xfId="0" applyFont="1" applyFill="1" applyBorder="1" applyAlignment="1">
      <alignment horizontal="center" vertical="center" wrapText="1"/>
    </xf>
    <xf numFmtId="0" fontId="121" fillId="18" borderId="80" xfId="11" applyFont="1" applyFill="1" applyBorder="1" applyAlignment="1">
      <alignment horizontal="center" vertical="center" wrapText="1"/>
    </xf>
    <xf numFmtId="0" fontId="116" fillId="23" borderId="108" xfId="11" applyFont="1" applyFill="1" applyBorder="1" applyAlignment="1">
      <alignment vertical="center" wrapText="1"/>
    </xf>
    <xf numFmtId="0" fontId="182" fillId="0" borderId="0" xfId="14" applyFont="1" applyAlignment="1">
      <alignment horizontal="justify" vertical="top"/>
    </xf>
    <xf numFmtId="164" fontId="69" fillId="40" borderId="90" xfId="2" applyNumberFormat="1" applyFont="1" applyFill="1" applyBorder="1" applyAlignment="1">
      <alignment horizontal="center" vertical="center" wrapText="1"/>
    </xf>
    <xf numFmtId="164" fontId="69" fillId="22" borderId="80" xfId="2" applyNumberFormat="1" applyFont="1" applyFill="1" applyBorder="1" applyAlignment="1">
      <alignment horizontal="center" vertical="center" wrapText="1"/>
    </xf>
    <xf numFmtId="205" fontId="69" fillId="40" borderId="90" xfId="2" applyNumberFormat="1" applyFont="1" applyFill="1" applyBorder="1" applyAlignment="1">
      <alignment horizontal="right" vertical="center" wrapText="1" indent="1"/>
    </xf>
    <xf numFmtId="205" fontId="69" fillId="22" borderId="80" xfId="2" applyNumberFormat="1" applyFont="1" applyFill="1" applyBorder="1" applyAlignment="1">
      <alignment horizontal="right" vertical="center" wrapText="1" indent="1"/>
    </xf>
    <xf numFmtId="0" fontId="96" fillId="43" borderId="80" xfId="11" applyFont="1" applyFill="1" applyBorder="1" applyAlignment="1">
      <alignment horizontal="center" vertical="center" wrapText="1"/>
    </xf>
    <xf numFmtId="0" fontId="96" fillId="45" borderId="80" xfId="11" applyFont="1" applyFill="1" applyBorder="1" applyAlignment="1">
      <alignment horizontal="center" vertical="center" wrapText="1"/>
    </xf>
    <xf numFmtId="184" fontId="96" fillId="45" borderId="80" xfId="2" applyNumberFormat="1" applyFont="1" applyFill="1" applyBorder="1" applyAlignment="1">
      <alignment horizontal="right" vertical="center" indent="1"/>
    </xf>
    <xf numFmtId="0" fontId="69" fillId="24" borderId="80" xfId="11" applyFont="1" applyFill="1" applyBorder="1" applyAlignment="1">
      <alignment horizontal="center" vertical="center" wrapText="1"/>
    </xf>
    <xf numFmtId="184" fontId="69" fillId="24" borderId="80" xfId="2" applyNumberFormat="1" applyFont="1" applyFill="1" applyBorder="1" applyAlignment="1">
      <alignment horizontal="right" vertical="center" indent="1"/>
    </xf>
    <xf numFmtId="184" fontId="69" fillId="24" borderId="80" xfId="2" applyNumberFormat="1" applyFont="1" applyFill="1" applyBorder="1" applyAlignment="1">
      <alignment horizontal="left" vertical="center"/>
    </xf>
    <xf numFmtId="164" fontId="186" fillId="24" borderId="80" xfId="2" applyNumberFormat="1" applyFont="1" applyFill="1" applyBorder="1" applyAlignment="1">
      <alignment vertical="center"/>
    </xf>
    <xf numFmtId="0" fontId="96" fillId="20" borderId="89" xfId="9" applyFont="1" applyFill="1" applyBorder="1" applyAlignment="1">
      <alignment horizontal="center" vertical="center" wrapText="1"/>
    </xf>
    <xf numFmtId="164" fontId="182" fillId="20" borderId="80" xfId="2" applyNumberFormat="1" applyFont="1" applyFill="1" applyBorder="1" applyAlignment="1">
      <alignment vertical="center"/>
    </xf>
    <xf numFmtId="172" fontId="182" fillId="20" borderId="80" xfId="30" applyNumberFormat="1" applyFont="1" applyFill="1" applyBorder="1" applyAlignment="1" applyProtection="1">
      <alignment horizontal="left"/>
    </xf>
    <xf numFmtId="172" fontId="182" fillId="19" borderId="80" xfId="30" applyNumberFormat="1" applyFont="1" applyFill="1" applyBorder="1" applyAlignment="1" applyProtection="1">
      <alignment horizontal="left"/>
    </xf>
    <xf numFmtId="164" fontId="182" fillId="19" borderId="80" xfId="2" applyNumberFormat="1" applyFont="1" applyFill="1" applyBorder="1" applyAlignment="1">
      <alignment vertical="center"/>
    </xf>
    <xf numFmtId="164" fontId="182" fillId="40" borderId="80" xfId="2" applyNumberFormat="1" applyFont="1" applyFill="1" applyBorder="1" applyAlignment="1">
      <alignment vertical="center"/>
    </xf>
    <xf numFmtId="164" fontId="182" fillId="24" borderId="80" xfId="2" applyNumberFormat="1" applyFont="1" applyFill="1" applyBorder="1" applyAlignment="1">
      <alignment vertical="center"/>
    </xf>
    <xf numFmtId="172" fontId="185" fillId="34" borderId="80" xfId="30" applyFont="1" applyFill="1" applyBorder="1"/>
    <xf numFmtId="173" fontId="182" fillId="34" borderId="80" xfId="30" applyNumberFormat="1" applyFont="1" applyFill="1" applyBorder="1"/>
    <xf numFmtId="172" fontId="69" fillId="34" borderId="0" xfId="30" applyFont="1" applyFill="1"/>
    <xf numFmtId="0" fontId="193" fillId="0" borderId="0" xfId="8" applyFont="1"/>
    <xf numFmtId="0" fontId="116" fillId="54" borderId="80" xfId="0" applyFont="1" applyFill="1" applyBorder="1" applyAlignment="1">
      <alignment horizontal="center" vertical="center" wrapText="1"/>
    </xf>
    <xf numFmtId="0" fontId="69" fillId="56" borderId="80" xfId="11" applyFont="1" applyFill="1" applyBorder="1" applyAlignment="1">
      <alignment horizontal="center" vertical="center" wrapText="1"/>
    </xf>
    <xf numFmtId="164" fontId="69" fillId="56" borderId="80" xfId="2" applyNumberFormat="1" applyFont="1" applyFill="1" applyBorder="1" applyAlignment="1">
      <alignment vertical="center" wrapText="1"/>
    </xf>
    <xf numFmtId="0" fontId="113" fillId="56" borderId="80" xfId="11" applyFont="1" applyFill="1" applyBorder="1" applyAlignment="1">
      <alignment horizontal="right" vertical="justify" indent="1"/>
    </xf>
    <xf numFmtId="173" fontId="69" fillId="56" borderId="80" xfId="11" applyNumberFormat="1" applyFont="1" applyFill="1" applyBorder="1" applyAlignment="1">
      <alignment horizontal="right" vertical="justify" indent="1"/>
    </xf>
    <xf numFmtId="173" fontId="69" fillId="56" borderId="80" xfId="2" applyNumberFormat="1" applyFont="1" applyFill="1" applyBorder="1" applyAlignment="1">
      <alignment horizontal="right" vertical="justify" indent="1"/>
    </xf>
    <xf numFmtId="1" fontId="109" fillId="54" borderId="80" xfId="0" applyNumberFormat="1" applyFont="1" applyFill="1" applyBorder="1" applyAlignment="1">
      <alignment horizontal="center" vertical="center" wrapText="1"/>
    </xf>
    <xf numFmtId="199" fontId="89" fillId="54" borderId="80" xfId="0" applyNumberFormat="1" applyFont="1" applyFill="1" applyBorder="1" applyAlignment="1">
      <alignment horizontal="right" vertical="center"/>
    </xf>
    <xf numFmtId="195" fontId="89" fillId="54" borderId="80" xfId="0" applyNumberFormat="1" applyFont="1" applyFill="1" applyBorder="1" applyAlignment="1">
      <alignment vertical="center"/>
    </xf>
    <xf numFmtId="204" fontId="109" fillId="54" borderId="80" xfId="0" applyNumberFormat="1" applyFont="1" applyFill="1" applyBorder="1" applyAlignment="1">
      <alignment horizontal="right" vertical="justify" indent="1"/>
    </xf>
    <xf numFmtId="173" fontId="109" fillId="54" borderId="80" xfId="0" applyNumberFormat="1" applyFont="1" applyFill="1" applyBorder="1" applyAlignment="1">
      <alignment horizontal="right" vertical="justify" indent="1"/>
    </xf>
    <xf numFmtId="173" fontId="109" fillId="54" borderId="80" xfId="11" applyNumberFormat="1" applyFont="1" applyFill="1" applyBorder="1" applyAlignment="1">
      <alignment horizontal="right" vertical="justify" indent="1"/>
    </xf>
    <xf numFmtId="0" fontId="116" fillId="54" borderId="80" xfId="11" applyFont="1" applyFill="1" applyBorder="1" applyAlignment="1">
      <alignment horizontal="center" vertical="center" wrapText="1"/>
    </xf>
    <xf numFmtId="164" fontId="116" fillId="54" borderId="80" xfId="2" applyNumberFormat="1" applyFont="1" applyFill="1" applyBorder="1" applyAlignment="1">
      <alignment horizontal="center" vertical="center" wrapText="1"/>
    </xf>
    <xf numFmtId="164" fontId="111" fillId="54" borderId="80" xfId="2" applyNumberFormat="1" applyFont="1" applyFill="1" applyBorder="1" applyAlignment="1">
      <alignment horizontal="center" vertical="center" wrapText="1"/>
    </xf>
    <xf numFmtId="0" fontId="69" fillId="56" borderId="80" xfId="11" applyFont="1" applyFill="1" applyBorder="1" applyAlignment="1">
      <alignment horizontal="left" vertical="center" wrapText="1"/>
    </xf>
    <xf numFmtId="173" fontId="113" fillId="56" borderId="80" xfId="2" applyNumberFormat="1" applyFont="1" applyFill="1" applyBorder="1" applyAlignment="1">
      <alignment horizontal="right" vertical="justify" indent="1"/>
    </xf>
    <xf numFmtId="1" fontId="109" fillId="54" borderId="80" xfId="11" applyNumberFormat="1" applyFont="1" applyFill="1" applyBorder="1" applyAlignment="1">
      <alignment horizontal="left" vertical="center" wrapText="1"/>
    </xf>
    <xf numFmtId="171" fontId="109" fillId="54" borderId="80" xfId="11" applyNumberFormat="1" applyFont="1" applyFill="1" applyBorder="1" applyAlignment="1">
      <alignment horizontal="right" vertical="justify" indent="1" readingOrder="1"/>
    </xf>
    <xf numFmtId="3" fontId="113" fillId="56" borderId="80" xfId="2" applyNumberFormat="1" applyFont="1" applyFill="1" applyBorder="1" applyAlignment="1">
      <alignment horizontal="center" vertical="center"/>
    </xf>
    <xf numFmtId="173" fontId="113" fillId="56" borderId="80" xfId="2" applyNumberFormat="1" applyFont="1" applyFill="1" applyBorder="1" applyAlignment="1">
      <alignment horizontal="right" vertical="center"/>
    </xf>
    <xf numFmtId="173" fontId="113" fillId="56" borderId="80" xfId="2" applyNumberFormat="1" applyFont="1" applyFill="1" applyBorder="1" applyAlignment="1">
      <alignment vertical="center"/>
    </xf>
    <xf numFmtId="167" fontId="109" fillId="54" borderId="80" xfId="2" applyNumberFormat="1" applyFont="1" applyFill="1" applyBorder="1" applyAlignment="1">
      <alignment horizontal="left" vertical="center"/>
    </xf>
    <xf numFmtId="3" fontId="109" fillId="54" borderId="80" xfId="2" applyNumberFormat="1" applyFont="1" applyFill="1" applyBorder="1" applyAlignment="1">
      <alignment horizontal="center" vertical="center"/>
    </xf>
    <xf numFmtId="167" fontId="109" fillId="54" borderId="80" xfId="2" applyNumberFormat="1" applyFont="1" applyFill="1" applyBorder="1" applyAlignment="1">
      <alignment horizontal="center" vertical="center"/>
    </xf>
    <xf numFmtId="173" fontId="109" fillId="54" borderId="80" xfId="2" applyNumberFormat="1" applyFont="1" applyFill="1" applyBorder="1" applyAlignment="1">
      <alignment horizontal="right" vertical="center"/>
    </xf>
    <xf numFmtId="167" fontId="113" fillId="56" borderId="80" xfId="2" applyNumberFormat="1" applyFont="1" applyFill="1" applyBorder="1" applyAlignment="1">
      <alignment horizontal="center" vertical="center"/>
    </xf>
    <xf numFmtId="0" fontId="116" fillId="54" borderId="89" xfId="0" applyFont="1" applyFill="1" applyBorder="1" applyAlignment="1">
      <alignment horizontal="center" vertical="center" wrapText="1"/>
    </xf>
    <xf numFmtId="192" fontId="109" fillId="54" borderId="80" xfId="11" applyNumberFormat="1" applyFont="1" applyFill="1" applyBorder="1" applyAlignment="1">
      <alignment horizontal="center" vertical="center" wrapText="1"/>
    </xf>
    <xf numFmtId="166" fontId="109" fillId="54" borderId="80" xfId="11" applyNumberFormat="1" applyFont="1" applyFill="1" applyBorder="1" applyAlignment="1">
      <alignment horizontal="center" vertical="center" wrapText="1"/>
    </xf>
    <xf numFmtId="0" fontId="116" fillId="54" borderId="89" xfId="11" applyFont="1" applyFill="1" applyBorder="1" applyAlignment="1">
      <alignment horizontal="center" vertical="center" wrapText="1"/>
    </xf>
    <xf numFmtId="172" fontId="109" fillId="54" borderId="115" xfId="23" applyNumberFormat="1" applyFont="1" applyFill="1" applyBorder="1" applyAlignment="1">
      <alignment horizontal="center" vertical="center" textRotation="90" wrapText="1"/>
    </xf>
    <xf numFmtId="192" fontId="69" fillId="56" borderId="80" xfId="11" applyNumberFormat="1" applyFont="1" applyFill="1" applyBorder="1" applyAlignment="1">
      <alignment horizontal="center" vertical="center" wrapText="1"/>
    </xf>
    <xf numFmtId="166" fontId="69" fillId="56" borderId="80" xfId="11" applyNumberFormat="1" applyFont="1" applyFill="1" applyBorder="1" applyAlignment="1">
      <alignment horizontal="center" vertical="center" wrapText="1"/>
    </xf>
    <xf numFmtId="192" fontId="96" fillId="56" borderId="80" xfId="11" applyNumberFormat="1" applyFont="1" applyFill="1" applyBorder="1" applyAlignment="1">
      <alignment horizontal="center" vertical="center" wrapText="1"/>
    </xf>
    <xf numFmtId="192" fontId="69" fillId="56" borderId="80" xfId="11" applyNumberFormat="1" applyFont="1" applyFill="1" applyBorder="1" applyAlignment="1">
      <alignment horizontal="right" vertical="center" wrapText="1" indent="2"/>
    </xf>
    <xf numFmtId="192" fontId="69" fillId="56" borderId="80" xfId="11" applyNumberFormat="1" applyFont="1" applyFill="1" applyBorder="1" applyAlignment="1">
      <alignment horizontal="right" vertical="center" wrapText="1" indent="1"/>
    </xf>
    <xf numFmtId="0" fontId="83" fillId="0" borderId="0" xfId="11" applyFont="1" applyAlignment="1">
      <alignment vertical="top"/>
    </xf>
    <xf numFmtId="0" fontId="69" fillId="57" borderId="90" xfId="11" applyFont="1" applyFill="1" applyBorder="1" applyAlignment="1">
      <alignment horizontal="left" vertical="center" wrapText="1"/>
    </xf>
    <xf numFmtId="0" fontId="69" fillId="58" borderId="80" xfId="11" applyFont="1" applyFill="1" applyBorder="1" applyAlignment="1">
      <alignment horizontal="left" vertical="center" wrapText="1"/>
    </xf>
    <xf numFmtId="0" fontId="116" fillId="17" borderId="0" xfId="0" applyFont="1" applyFill="1" applyAlignment="1">
      <alignment horizontal="left" vertical="center"/>
    </xf>
    <xf numFmtId="0" fontId="109" fillId="17" borderId="0" xfId="0" applyFont="1" applyFill="1" applyAlignment="1">
      <alignment horizontal="left" vertical="center"/>
    </xf>
    <xf numFmtId="184" fontId="96" fillId="43" borderId="80" xfId="2" applyNumberFormat="1" applyFont="1" applyFill="1" applyBorder="1" applyAlignment="1">
      <alignment horizontal="right" vertical="center" indent="1"/>
    </xf>
    <xf numFmtId="0" fontId="121" fillId="45" borderId="193" xfId="29" applyFont="1" applyFill="1" applyBorder="1" applyAlignment="1">
      <alignment vertical="center" wrapText="1"/>
    </xf>
    <xf numFmtId="170" fontId="96" fillId="45" borderId="194" xfId="2" applyNumberFormat="1" applyFont="1" applyFill="1" applyBorder="1" applyAlignment="1">
      <alignment horizontal="center" vertical="center" wrapText="1"/>
    </xf>
    <xf numFmtId="0" fontId="121" fillId="45" borderId="192" xfId="29" applyFont="1" applyFill="1" applyBorder="1" applyAlignment="1">
      <alignment vertical="center" wrapText="1"/>
    </xf>
    <xf numFmtId="168" fontId="121" fillId="45" borderId="192" xfId="2" applyNumberFormat="1" applyFont="1" applyFill="1" applyBorder="1" applyAlignment="1">
      <alignment horizontal="center" vertical="center" wrapText="1"/>
    </xf>
    <xf numFmtId="0" fontId="121" fillId="43" borderId="80" xfId="8" applyFont="1" applyFill="1" applyBorder="1" applyAlignment="1">
      <alignment horizontal="center" vertical="center" wrapText="1"/>
    </xf>
    <xf numFmtId="170" fontId="121" fillId="43" borderId="80" xfId="2" applyNumberFormat="1" applyFont="1" applyFill="1" applyBorder="1" applyAlignment="1">
      <alignment horizontal="center" vertical="center" wrapText="1"/>
    </xf>
    <xf numFmtId="0" fontId="121" fillId="43" borderId="2" xfId="29" applyFont="1" applyFill="1" applyBorder="1" applyAlignment="1">
      <alignment vertical="center" wrapText="1"/>
    </xf>
    <xf numFmtId="0" fontId="0" fillId="34" borderId="0" xfId="0" applyFill="1"/>
    <xf numFmtId="0" fontId="187" fillId="0" borderId="80" xfId="14" applyFont="1" applyFill="1" applyBorder="1" applyAlignment="1">
      <alignment horizontal="center" vertical="center" wrapText="1"/>
    </xf>
    <xf numFmtId="172" fontId="187" fillId="0" borderId="80" xfId="30" applyFont="1" applyFill="1" applyBorder="1" applyAlignment="1">
      <alignment horizontal="center" vertical="top" wrapText="1"/>
    </xf>
    <xf numFmtId="164" fontId="95" fillId="43" borderId="80" xfId="2" applyNumberFormat="1" applyFont="1" applyFill="1" applyBorder="1" applyAlignment="1">
      <alignment vertical="center"/>
    </xf>
    <xf numFmtId="164" fontId="95" fillId="45" borderId="80" xfId="2" applyNumberFormat="1" applyFont="1" applyFill="1" applyBorder="1" applyAlignment="1">
      <alignment vertical="center"/>
    </xf>
    <xf numFmtId="172" fontId="121" fillId="60" borderId="80" xfId="30" applyNumberFormat="1" applyFont="1" applyFill="1" applyBorder="1" applyAlignment="1" applyProtection="1">
      <alignment horizontal="left"/>
    </xf>
    <xf numFmtId="0" fontId="96" fillId="60" borderId="80" xfId="11" applyFont="1" applyFill="1" applyBorder="1" applyAlignment="1">
      <alignment horizontal="center" vertical="center" wrapText="1"/>
    </xf>
    <xf numFmtId="205" fontId="96" fillId="60" borderId="80" xfId="2" applyNumberFormat="1" applyFont="1" applyFill="1" applyBorder="1" applyAlignment="1">
      <alignment horizontal="right" vertical="center" wrapText="1" indent="1"/>
    </xf>
    <xf numFmtId="164" fontId="96" fillId="60" borderId="80" xfId="2" applyNumberFormat="1" applyFont="1" applyFill="1" applyBorder="1" applyAlignment="1">
      <alignment horizontal="center" vertical="center" wrapText="1"/>
    </xf>
    <xf numFmtId="198" fontId="96" fillId="59" borderId="80" xfId="2" applyNumberFormat="1" applyFont="1" applyFill="1" applyBorder="1" applyAlignment="1">
      <alignment horizontal="right" vertical="center" wrapText="1" indent="1"/>
    </xf>
    <xf numFmtId="164" fontId="96" fillId="59" borderId="80" xfId="2" applyNumberFormat="1" applyFont="1" applyFill="1" applyBorder="1" applyAlignment="1">
      <alignment horizontal="center" vertical="center" wrapText="1"/>
    </xf>
    <xf numFmtId="196" fontId="96" fillId="59" borderId="80" xfId="2" applyNumberFormat="1" applyFont="1" applyFill="1" applyBorder="1" applyAlignment="1">
      <alignment horizontal="center" vertical="center"/>
    </xf>
    <xf numFmtId="43" fontId="121" fillId="60" borderId="188" xfId="2" applyFont="1" applyFill="1" applyBorder="1" applyAlignment="1">
      <alignment horizontal="center" vertical="center" wrapText="1"/>
    </xf>
    <xf numFmtId="43" fontId="121" fillId="59" borderId="188" xfId="2" applyFont="1" applyFill="1" applyBorder="1" applyAlignment="1">
      <alignment horizontal="center" vertical="center" wrapText="1"/>
    </xf>
    <xf numFmtId="0" fontId="121" fillId="60" borderId="188" xfId="11" applyFont="1" applyFill="1" applyBorder="1" applyAlignment="1">
      <alignment horizontal="center" vertical="center" wrapText="1"/>
    </xf>
    <xf numFmtId="0" fontId="121" fillId="60" borderId="188" xfId="14" applyFont="1" applyFill="1" applyBorder="1" applyAlignment="1">
      <alignment horizontal="center" vertical="center" wrapText="1"/>
    </xf>
    <xf numFmtId="0" fontId="96" fillId="43" borderId="80" xfId="14" applyFont="1" applyFill="1" applyBorder="1" applyAlignment="1">
      <alignment horizontal="center" wrapText="1"/>
    </xf>
    <xf numFmtId="0" fontId="96" fillId="45" borderId="80" xfId="14" applyFont="1" applyFill="1" applyBorder="1" applyAlignment="1">
      <alignment horizontal="center" wrapText="1"/>
    </xf>
    <xf numFmtId="0" fontId="121" fillId="43" borderId="89" xfId="9" applyFont="1" applyFill="1" applyBorder="1" applyAlignment="1">
      <alignment horizontal="center" vertical="center" wrapText="1"/>
    </xf>
    <xf numFmtId="0" fontId="121" fillId="45" borderId="89" xfId="9" applyFont="1" applyFill="1" applyBorder="1" applyAlignment="1">
      <alignment horizontal="center" vertical="center" wrapText="1"/>
    </xf>
    <xf numFmtId="0" fontId="145" fillId="0" borderId="0" xfId="14" applyFont="1" applyAlignment="1">
      <alignment vertical="center"/>
    </xf>
    <xf numFmtId="0" fontId="96" fillId="19" borderId="89" xfId="9" applyFont="1" applyFill="1" applyBorder="1" applyAlignment="1">
      <alignment horizontal="center" vertical="center" wrapText="1"/>
    </xf>
    <xf numFmtId="0" fontId="196" fillId="0" borderId="0" xfId="9" applyFont="1" applyBorder="1" applyAlignment="1">
      <alignment vertical="center"/>
    </xf>
    <xf numFmtId="0" fontId="138" fillId="0" borderId="0" xfId="9" applyFont="1" applyBorder="1" applyAlignment="1">
      <alignment vertical="center"/>
    </xf>
    <xf numFmtId="0" fontId="138" fillId="0" borderId="0" xfId="14" applyFont="1" applyAlignment="1">
      <alignment vertical="center"/>
    </xf>
    <xf numFmtId="0" fontId="198" fillId="0" borderId="0" xfId="14" applyFont="1" applyAlignment="1">
      <alignment vertical="center"/>
    </xf>
    <xf numFmtId="0" fontId="83" fillId="34" borderId="0" xfId="0" applyFont="1" applyFill="1" applyBorder="1" applyAlignment="1">
      <alignment vertical="top"/>
    </xf>
    <xf numFmtId="0" fontId="83" fillId="0" borderId="0" xfId="14" applyFont="1" applyAlignment="1">
      <alignment vertical="center"/>
    </xf>
    <xf numFmtId="0" fontId="82" fillId="0" borderId="0" xfId="14" applyFont="1" applyAlignment="1">
      <alignment vertical="center"/>
    </xf>
    <xf numFmtId="0" fontId="83" fillId="0" borderId="0" xfId="9" applyFont="1" applyBorder="1" applyAlignment="1">
      <alignment vertical="center"/>
    </xf>
    <xf numFmtId="0" fontId="83" fillId="0" borderId="0" xfId="5" applyFont="1" applyFill="1" applyBorder="1" applyAlignment="1">
      <alignment vertical="center"/>
    </xf>
    <xf numFmtId="0" fontId="93" fillId="0" borderId="0" xfId="0" applyFont="1" applyAlignment="1">
      <alignment vertical="center"/>
    </xf>
    <xf numFmtId="0" fontId="83" fillId="0" borderId="0" xfId="14" applyFont="1"/>
    <xf numFmtId="0" fontId="83" fillId="0" borderId="0" xfId="0" applyFont="1" applyAlignment="1">
      <alignment vertical="center"/>
    </xf>
    <xf numFmtId="0" fontId="83" fillId="0" borderId="0" xfId="7" applyFont="1" applyAlignment="1">
      <alignment vertical="center"/>
    </xf>
    <xf numFmtId="0" fontId="199" fillId="0" borderId="0" xfId="0" applyFont="1"/>
    <xf numFmtId="206" fontId="69" fillId="57" borderId="90" xfId="2" applyNumberFormat="1" applyFont="1" applyFill="1" applyBorder="1" applyAlignment="1">
      <alignment horizontal="right" vertical="center" indent="1"/>
    </xf>
    <xf numFmtId="206" fontId="69" fillId="20" borderId="90" xfId="2" applyNumberFormat="1" applyFont="1" applyFill="1" applyBorder="1" applyAlignment="1">
      <alignment horizontal="right" vertical="center" indent="1"/>
    </xf>
    <xf numFmtId="206" fontId="69" fillId="40" borderId="90" xfId="2" applyNumberFormat="1" applyFont="1" applyFill="1" applyBorder="1" applyAlignment="1">
      <alignment horizontal="right" vertical="center" indent="1"/>
    </xf>
    <xf numFmtId="206" fontId="69" fillId="58" borderId="80" xfId="2" applyNumberFormat="1" applyFont="1" applyFill="1" applyBorder="1" applyAlignment="1">
      <alignment horizontal="right" vertical="center" indent="1"/>
    </xf>
    <xf numFmtId="206" fontId="69" fillId="19" borderId="80" xfId="2" applyNumberFormat="1" applyFont="1" applyFill="1" applyBorder="1" applyAlignment="1">
      <alignment horizontal="right" vertical="center" indent="1"/>
    </xf>
    <xf numFmtId="206" fontId="69" fillId="22" borderId="80" xfId="2" applyNumberFormat="1" applyFont="1" applyFill="1" applyBorder="1" applyAlignment="1">
      <alignment horizontal="right" vertical="center" indent="1"/>
    </xf>
    <xf numFmtId="206" fontId="69" fillId="20" borderId="80" xfId="2" applyNumberFormat="1" applyFont="1" applyFill="1" applyBorder="1" applyAlignment="1">
      <alignment horizontal="right" vertical="center" indent="1"/>
    </xf>
    <xf numFmtId="207" fontId="69" fillId="20" borderId="90" xfId="2" applyNumberFormat="1" applyFont="1" applyFill="1" applyBorder="1" applyAlignment="1">
      <alignment horizontal="center" vertical="center" wrapText="1"/>
    </xf>
    <xf numFmtId="207" fontId="69" fillId="19" borderId="80" xfId="2" applyNumberFormat="1" applyFont="1" applyFill="1" applyBorder="1" applyAlignment="1">
      <alignment horizontal="center" vertical="center" wrapText="1"/>
    </xf>
    <xf numFmtId="207" fontId="69" fillId="20" borderId="80" xfId="2" applyNumberFormat="1" applyFont="1" applyFill="1" applyBorder="1" applyAlignment="1">
      <alignment horizontal="center" vertical="center" wrapText="1"/>
    </xf>
    <xf numFmtId="208" fontId="96" fillId="60" borderId="80" xfId="2" applyNumberFormat="1" applyFont="1" applyFill="1" applyBorder="1" applyAlignment="1">
      <alignment horizontal="right" vertical="center"/>
    </xf>
    <xf numFmtId="168" fontId="121" fillId="43" borderId="191" xfId="10" applyNumberFormat="1" applyFont="1" applyFill="1" applyBorder="1" applyAlignment="1">
      <alignment horizontal="center" vertical="center" wrapText="1"/>
    </xf>
    <xf numFmtId="168" fontId="69" fillId="49" borderId="190" xfId="2" applyNumberFormat="1" applyFont="1" applyFill="1" applyBorder="1" applyAlignment="1">
      <alignment horizontal="right" vertical="center" wrapText="1"/>
    </xf>
    <xf numFmtId="168" fontId="69" fillId="50" borderId="80" xfId="2" applyNumberFormat="1" applyFont="1" applyFill="1" applyBorder="1" applyAlignment="1">
      <alignment horizontal="right" vertical="center" wrapText="1"/>
    </xf>
    <xf numFmtId="0" fontId="125" fillId="16" borderId="80" xfId="11" applyFont="1" applyFill="1" applyBorder="1" applyAlignment="1">
      <alignment horizontal="center" vertical="center" wrapText="1"/>
    </xf>
    <xf numFmtId="0" fontId="125" fillId="15" borderId="80" xfId="11" applyFont="1" applyFill="1" applyBorder="1" applyAlignment="1">
      <alignment horizontal="center" vertical="center" wrapText="1"/>
    </xf>
    <xf numFmtId="166" fontId="96" fillId="20" borderId="80" xfId="12" applyNumberFormat="1" applyFont="1" applyFill="1" applyBorder="1" applyAlignment="1">
      <alignment horizontal="center" vertical="center" wrapText="1"/>
    </xf>
    <xf numFmtId="166" fontId="96" fillId="19" borderId="80" xfId="12" applyNumberFormat="1" applyFont="1" applyFill="1" applyBorder="1" applyAlignment="1">
      <alignment horizontal="center" vertical="center" wrapText="1"/>
    </xf>
    <xf numFmtId="209" fontId="96" fillId="19" borderId="80" xfId="12" applyNumberFormat="1" applyFont="1" applyFill="1" applyBorder="1" applyAlignment="1">
      <alignment horizontal="center" vertical="center" wrapText="1"/>
    </xf>
    <xf numFmtId="209" fontId="96" fillId="20" borderId="80" xfId="12" applyNumberFormat="1" applyFont="1" applyFill="1" applyBorder="1" applyAlignment="1">
      <alignment horizontal="center" vertical="center" wrapText="1"/>
    </xf>
    <xf numFmtId="202" fontId="69" fillId="56" borderId="80" xfId="11" applyNumberFormat="1" applyFont="1" applyFill="1" applyBorder="1" applyAlignment="1">
      <alignment horizontal="center" vertical="center" wrapText="1"/>
    </xf>
    <xf numFmtId="202" fontId="69" fillId="28" borderId="80" xfId="11" applyNumberFormat="1" applyFont="1" applyFill="1" applyBorder="1" applyAlignment="1">
      <alignment horizontal="center" vertical="center" wrapText="1"/>
    </xf>
    <xf numFmtId="0" fontId="121" fillId="62" borderId="89" xfId="9" applyFont="1" applyFill="1" applyBorder="1" applyAlignment="1">
      <alignment vertical="center" wrapText="1"/>
    </xf>
    <xf numFmtId="0" fontId="121" fillId="62" borderId="187" xfId="9" applyFont="1" applyFill="1" applyBorder="1" applyAlignment="1">
      <alignment vertical="center" wrapText="1"/>
    </xf>
    <xf numFmtId="0" fontId="121" fillId="62" borderId="90" xfId="9" applyFont="1" applyFill="1" applyBorder="1" applyAlignment="1">
      <alignment vertical="center" wrapText="1"/>
    </xf>
    <xf numFmtId="43" fontId="168" fillId="34" borderId="156" xfId="2" applyFont="1" applyFill="1" applyBorder="1"/>
    <xf numFmtId="0" fontId="10" fillId="0" borderId="17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79" xfId="0" applyFont="1" applyBorder="1" applyAlignment="1">
      <alignment horizontal="center"/>
    </xf>
    <xf numFmtId="0" fontId="20" fillId="20" borderId="1" xfId="0" applyFont="1" applyFill="1" applyBorder="1" applyAlignment="1">
      <alignment horizontal="left" vertical="center"/>
    </xf>
    <xf numFmtId="2" fontId="20" fillId="20" borderId="1" xfId="0" applyNumberFormat="1" applyFont="1" applyFill="1" applyBorder="1" applyAlignment="1">
      <alignment horizontal="center"/>
    </xf>
    <xf numFmtId="0" fontId="20" fillId="29" borderId="1" xfId="0" applyFont="1" applyFill="1" applyBorder="1" applyAlignment="1">
      <alignment horizontal="left" vertical="center"/>
    </xf>
    <xf numFmtId="2" fontId="20" fillId="29" borderId="1" xfId="0" applyNumberFormat="1" applyFont="1" applyFill="1" applyBorder="1" applyAlignment="1">
      <alignment horizontal="center"/>
    </xf>
    <xf numFmtId="0" fontId="96" fillId="66" borderId="80" xfId="5" applyFont="1" applyFill="1" applyBorder="1" applyAlignment="1">
      <alignment horizontal="left" vertical="center"/>
    </xf>
    <xf numFmtId="171" fontId="96" fillId="66" borderId="80" xfId="3" applyNumberFormat="1" applyFont="1" applyFill="1" applyBorder="1" applyAlignment="1">
      <alignment vertical="center"/>
    </xf>
    <xf numFmtId="180" fontId="96" fillId="66" borderId="80" xfId="3" applyNumberFormat="1" applyFont="1" applyFill="1" applyBorder="1" applyAlignment="1">
      <alignment vertical="center"/>
    </xf>
    <xf numFmtId="0" fontId="190" fillId="64" borderId="80" xfId="5" applyFont="1" applyFill="1" applyBorder="1" applyAlignment="1">
      <alignment horizontal="left" vertical="center"/>
    </xf>
    <xf numFmtId="180" fontId="190" fillId="64" borderId="80" xfId="3" applyNumberFormat="1" applyFont="1" applyFill="1" applyBorder="1" applyAlignment="1">
      <alignment vertical="center"/>
    </xf>
    <xf numFmtId="183" fontId="190" fillId="64" borderId="80" xfId="3" applyNumberFormat="1" applyFont="1" applyFill="1" applyBorder="1" applyAlignment="1">
      <alignment vertical="center"/>
    </xf>
    <xf numFmtId="0" fontId="113" fillId="66" borderId="80" xfId="11" applyFont="1" applyFill="1" applyBorder="1" applyAlignment="1">
      <alignment horizontal="left" vertical="justify" indent="1"/>
    </xf>
    <xf numFmtId="204" fontId="113" fillId="66" borderId="80" xfId="2" applyNumberFormat="1" applyFont="1" applyFill="1" applyBorder="1" applyAlignment="1">
      <alignment horizontal="center" vertical="center"/>
    </xf>
    <xf numFmtId="173" fontId="113" fillId="66" borderId="80" xfId="2" applyNumberFormat="1" applyFont="1" applyFill="1" applyBorder="1" applyAlignment="1">
      <alignment horizontal="right" vertical="center"/>
    </xf>
    <xf numFmtId="173" fontId="113" fillId="66" borderId="80" xfId="2" applyNumberFormat="1" applyFont="1" applyFill="1" applyBorder="1" applyAlignment="1">
      <alignment vertical="center"/>
    </xf>
    <xf numFmtId="0" fontId="113" fillId="64" borderId="80" xfId="11" applyFont="1" applyFill="1" applyBorder="1" applyAlignment="1">
      <alignment horizontal="right" vertical="justify" indent="1"/>
    </xf>
    <xf numFmtId="204" fontId="113" fillId="64" borderId="80" xfId="2" applyNumberFormat="1" applyFont="1" applyFill="1" applyBorder="1" applyAlignment="1">
      <alignment horizontal="right" vertical="justify" indent="1"/>
    </xf>
    <xf numFmtId="173" fontId="113" fillId="64" borderId="80" xfId="2" applyNumberFormat="1" applyFont="1" applyFill="1" applyBorder="1" applyAlignment="1">
      <alignment horizontal="right" vertical="justify" indent="1"/>
    </xf>
    <xf numFmtId="0" fontId="113" fillId="66" borderId="80" xfId="11" applyFont="1" applyFill="1" applyBorder="1" applyAlignment="1">
      <alignment horizontal="right" vertical="justify" indent="1"/>
    </xf>
    <xf numFmtId="204" fontId="113" fillId="66" borderId="80" xfId="2" applyNumberFormat="1" applyFont="1" applyFill="1" applyBorder="1" applyAlignment="1">
      <alignment horizontal="right" vertical="justify" indent="1"/>
    </xf>
    <xf numFmtId="173" fontId="113" fillId="66" borderId="80" xfId="2" applyNumberFormat="1" applyFont="1" applyFill="1" applyBorder="1" applyAlignment="1">
      <alignment horizontal="right" vertical="justify" indent="1"/>
    </xf>
    <xf numFmtId="0" fontId="116" fillId="67" borderId="80" xfId="5" applyFont="1" applyFill="1" applyBorder="1" applyAlignment="1">
      <alignment horizontal="center" vertical="center" wrapText="1"/>
    </xf>
    <xf numFmtId="180" fontId="96" fillId="67" borderId="80" xfId="3" applyNumberFormat="1" applyFont="1" applyFill="1" applyBorder="1" applyAlignment="1">
      <alignment vertical="center"/>
    </xf>
    <xf numFmtId="183" fontId="96" fillId="67" borderId="80" xfId="10" applyNumberFormat="1" applyFont="1" applyFill="1" applyBorder="1" applyAlignment="1">
      <alignment horizontal="right" vertical="center"/>
    </xf>
    <xf numFmtId="1" fontId="109" fillId="67" borderId="80" xfId="0" applyNumberFormat="1" applyFont="1" applyFill="1" applyBorder="1" applyAlignment="1">
      <alignment horizontal="center" vertical="center" wrapText="1"/>
    </xf>
    <xf numFmtId="204" fontId="109" fillId="67" borderId="80" xfId="0" applyNumberFormat="1" applyFont="1" applyFill="1" applyBorder="1" applyAlignment="1">
      <alignment horizontal="right" vertical="center"/>
    </xf>
    <xf numFmtId="173" fontId="109" fillId="67" borderId="80" xfId="2" applyNumberFormat="1" applyFont="1" applyFill="1" applyBorder="1" applyAlignment="1">
      <alignment horizontal="right" vertical="justify" indent="1"/>
    </xf>
    <xf numFmtId="0" fontId="116" fillId="67" borderId="80" xfId="5" applyFont="1" applyFill="1" applyBorder="1" applyAlignment="1">
      <alignment horizontal="center" vertical="center"/>
    </xf>
    <xf numFmtId="0" fontId="96" fillId="67" borderId="80" xfId="11" applyFont="1" applyFill="1" applyBorder="1" applyAlignment="1">
      <alignment vertical="center"/>
    </xf>
    <xf numFmtId="204" fontId="96" fillId="67" borderId="80" xfId="2" applyNumberFormat="1" applyFont="1" applyFill="1" applyBorder="1" applyAlignment="1">
      <alignment horizontal="center" vertical="center"/>
    </xf>
    <xf numFmtId="173" fontId="96" fillId="67" borderId="80" xfId="2" applyNumberFormat="1" applyFont="1" applyFill="1" applyBorder="1" applyAlignment="1">
      <alignment horizontal="right" vertical="center"/>
    </xf>
    <xf numFmtId="0" fontId="109" fillId="67" borderId="80" xfId="11" applyFont="1" applyFill="1" applyBorder="1" applyAlignment="1">
      <alignment vertical="center"/>
    </xf>
    <xf numFmtId="204" fontId="109" fillId="67" borderId="80" xfId="2" applyNumberFormat="1" applyFont="1" applyFill="1" applyBorder="1" applyAlignment="1">
      <alignment horizontal="center" vertical="center"/>
    </xf>
    <xf numFmtId="173" fontId="109" fillId="67" borderId="80" xfId="2" applyNumberFormat="1" applyFont="1" applyFill="1" applyBorder="1" applyAlignment="1">
      <alignment horizontal="right" vertical="center"/>
    </xf>
    <xf numFmtId="0" fontId="116" fillId="67" borderId="80" xfId="0" applyFont="1" applyFill="1" applyBorder="1" applyAlignment="1">
      <alignment horizontal="center" vertical="center" wrapText="1"/>
    </xf>
    <xf numFmtId="167" fontId="96" fillId="67" borderId="80" xfId="2" applyNumberFormat="1" applyFont="1" applyFill="1" applyBorder="1" applyAlignment="1">
      <alignment horizontal="center" vertical="center"/>
    </xf>
    <xf numFmtId="0" fontId="111" fillId="67" borderId="80" xfId="0" applyFont="1" applyFill="1" applyBorder="1" applyAlignment="1">
      <alignment horizontal="center" vertical="center" wrapText="1"/>
    </xf>
    <xf numFmtId="164" fontId="111" fillId="67" borderId="80" xfId="2" applyNumberFormat="1" applyFont="1" applyFill="1" applyBorder="1" applyAlignment="1">
      <alignment horizontal="center" vertical="center" wrapText="1"/>
    </xf>
    <xf numFmtId="0" fontId="116" fillId="67" borderId="80" xfId="0" applyFont="1" applyFill="1" applyBorder="1" applyAlignment="1">
      <alignment horizontal="centerContinuous" vertical="center" wrapText="1"/>
    </xf>
    <xf numFmtId="204" fontId="96" fillId="67" borderId="80" xfId="2" applyNumberFormat="1" applyFont="1" applyFill="1" applyBorder="1" applyAlignment="1">
      <alignment horizontal="right" vertical="center"/>
    </xf>
    <xf numFmtId="204" fontId="113" fillId="66" borderId="80" xfId="2" applyNumberFormat="1" applyFont="1" applyFill="1" applyBorder="1" applyAlignment="1">
      <alignment horizontal="center" vertical="justify"/>
    </xf>
    <xf numFmtId="0" fontId="113" fillId="65" borderId="80" xfId="11" applyFont="1" applyFill="1" applyBorder="1" applyAlignment="1">
      <alignment horizontal="left" vertical="justify" indent="1"/>
    </xf>
    <xf numFmtId="0" fontId="113" fillId="64" borderId="80" xfId="11" applyFont="1" applyFill="1" applyBorder="1" applyAlignment="1">
      <alignment horizontal="left" vertical="justify" indent="1"/>
    </xf>
    <xf numFmtId="204" fontId="113" fillId="64" borderId="80" xfId="2" applyNumberFormat="1" applyFont="1" applyFill="1" applyBorder="1" applyAlignment="1">
      <alignment horizontal="center" vertical="justify"/>
    </xf>
    <xf numFmtId="204" fontId="113" fillId="64" borderId="80" xfId="2" applyNumberFormat="1" applyFont="1" applyFill="1" applyBorder="1" applyAlignment="1">
      <alignment horizontal="center" vertical="center"/>
    </xf>
    <xf numFmtId="173" fontId="113" fillId="64" borderId="80" xfId="2" applyNumberFormat="1" applyFont="1" applyFill="1" applyBorder="1" applyAlignment="1">
      <alignment horizontal="right" vertical="center"/>
    </xf>
    <xf numFmtId="173" fontId="113" fillId="64" borderId="80" xfId="2" applyNumberFormat="1" applyFont="1" applyFill="1" applyBorder="1" applyAlignment="1">
      <alignment vertical="center"/>
    </xf>
    <xf numFmtId="173" fontId="113" fillId="65" borderId="80" xfId="2" applyNumberFormat="1" applyFont="1" applyFill="1" applyBorder="1" applyAlignment="1">
      <alignment horizontal="right" vertical="center"/>
    </xf>
    <xf numFmtId="204" fontId="112" fillId="66" borderId="80" xfId="2" applyNumberFormat="1" applyFont="1" applyFill="1" applyBorder="1" applyAlignment="1">
      <alignment horizontal="right" vertical="center"/>
    </xf>
    <xf numFmtId="204" fontId="113" fillId="66" borderId="80" xfId="2" applyNumberFormat="1" applyFont="1" applyFill="1" applyBorder="1" applyAlignment="1">
      <alignment horizontal="right" vertical="center"/>
    </xf>
    <xf numFmtId="204" fontId="112" fillId="65" borderId="80" xfId="2" applyNumberFormat="1" applyFont="1" applyFill="1" applyBorder="1" applyAlignment="1">
      <alignment horizontal="right" vertical="center"/>
    </xf>
    <xf numFmtId="204" fontId="113" fillId="65" borderId="80" xfId="2" applyNumberFormat="1" applyFont="1" applyFill="1" applyBorder="1" applyAlignment="1">
      <alignment horizontal="right" vertical="center"/>
    </xf>
    <xf numFmtId="0" fontId="136" fillId="0" borderId="0" xfId="11" applyFont="1" applyAlignment="1">
      <alignment vertical="center" wrapText="1"/>
    </xf>
    <xf numFmtId="0" fontId="146" fillId="0" borderId="0" xfId="0" applyFont="1" applyAlignment="1">
      <alignment vertical="center"/>
    </xf>
    <xf numFmtId="164" fontId="69" fillId="0" borderId="0" xfId="2" applyNumberFormat="1" applyFont="1"/>
    <xf numFmtId="210" fontId="204" fillId="0" borderId="80" xfId="2" applyNumberFormat="1" applyFont="1" applyFill="1" applyBorder="1" applyAlignment="1">
      <alignment horizontal="right" vertical="center"/>
    </xf>
    <xf numFmtId="164" fontId="204" fillId="0" borderId="80" xfId="2" applyNumberFormat="1" applyFont="1" applyFill="1" applyBorder="1" applyAlignment="1">
      <alignment vertical="center"/>
    </xf>
    <xf numFmtId="210" fontId="204" fillId="24" borderId="80" xfId="2" applyNumberFormat="1" applyFont="1" applyFill="1" applyBorder="1" applyAlignment="1">
      <alignment vertical="center"/>
    </xf>
    <xf numFmtId="164" fontId="204" fillId="24" borderId="80" xfId="2" applyNumberFormat="1" applyFont="1" applyFill="1" applyBorder="1" applyAlignment="1">
      <alignment vertical="center"/>
    </xf>
    <xf numFmtId="0" fontId="204" fillId="0" borderId="80" xfId="0" applyFont="1" applyFill="1" applyBorder="1" applyAlignment="1">
      <alignment vertical="center" wrapText="1"/>
    </xf>
    <xf numFmtId="0" fontId="204" fillId="24" borderId="80" xfId="0" applyFont="1" applyFill="1" applyBorder="1" applyAlignment="1">
      <alignment vertical="center" wrapText="1"/>
    </xf>
    <xf numFmtId="0" fontId="205" fillId="22" borderId="80" xfId="0" applyFont="1" applyFill="1" applyBorder="1" applyAlignment="1">
      <alignment horizontal="center" vertical="center" wrapText="1"/>
    </xf>
    <xf numFmtId="210" fontId="205" fillId="22" borderId="80" xfId="2" applyNumberFormat="1" applyFont="1" applyFill="1" applyBorder="1" applyAlignment="1">
      <alignment vertical="center"/>
    </xf>
    <xf numFmtId="164" fontId="205" fillId="22" borderId="80" xfId="2" applyNumberFormat="1" applyFont="1" applyFill="1" applyBorder="1" applyAlignment="1">
      <alignment vertical="center"/>
    </xf>
    <xf numFmtId="210" fontId="205" fillId="0" borderId="80" xfId="2" applyNumberFormat="1" applyFont="1" applyFill="1" applyBorder="1" applyAlignment="1">
      <alignment horizontal="right" vertical="center"/>
    </xf>
    <xf numFmtId="164" fontId="205" fillId="0" borderId="80" xfId="2" applyNumberFormat="1" applyFont="1" applyFill="1" applyBorder="1" applyAlignment="1">
      <alignment vertical="center"/>
    </xf>
    <xf numFmtId="210" fontId="205" fillId="24" borderId="80" xfId="2" applyNumberFormat="1" applyFont="1" applyFill="1" applyBorder="1" applyAlignment="1">
      <alignment vertical="center"/>
    </xf>
    <xf numFmtId="164" fontId="205" fillId="24" borderId="80" xfId="2" applyNumberFormat="1" applyFont="1" applyFill="1" applyBorder="1" applyAlignment="1">
      <alignment vertical="center"/>
    </xf>
    <xf numFmtId="173" fontId="206" fillId="22" borderId="80" xfId="2" applyNumberFormat="1" applyFont="1" applyFill="1" applyBorder="1" applyAlignment="1">
      <alignment horizontal="center" vertical="justify"/>
    </xf>
    <xf numFmtId="0" fontId="149" fillId="0" borderId="0" xfId="34" applyFont="1"/>
    <xf numFmtId="43" fontId="69" fillId="0" borderId="0" xfId="14" applyNumberFormat="1" applyFont="1"/>
    <xf numFmtId="184" fontId="112" fillId="4" borderId="80" xfId="2" applyNumberFormat="1" applyFont="1" applyFill="1" applyBorder="1" applyAlignment="1">
      <alignment horizontal="right" vertical="center"/>
    </xf>
    <xf numFmtId="182" fontId="112" fillId="4" borderId="80" xfId="2" applyNumberFormat="1" applyFont="1" applyFill="1" applyBorder="1" applyAlignment="1">
      <alignment horizontal="right" vertical="center"/>
    </xf>
    <xf numFmtId="0" fontId="81" fillId="0" borderId="0" xfId="14" applyFont="1" applyBorder="1" applyAlignment="1">
      <alignment horizontal="centerContinuous" vertical="center"/>
    </xf>
    <xf numFmtId="0" fontId="69" fillId="0" borderId="0" xfId="14" applyFont="1" applyBorder="1" applyAlignment="1">
      <alignment horizontal="centerContinuous" vertical="center"/>
    </xf>
    <xf numFmtId="0" fontId="209" fillId="0" borderId="0" xfId="14" applyFont="1" applyBorder="1" applyAlignment="1" applyProtection="1">
      <alignment vertical="center" wrapText="1"/>
      <protection locked="0"/>
    </xf>
    <xf numFmtId="0" fontId="69" fillId="0" borderId="0" xfId="14" applyFont="1" applyBorder="1" applyProtection="1">
      <protection locked="0"/>
    </xf>
    <xf numFmtId="0" fontId="69" fillId="0" borderId="0" xfId="14" applyFont="1" applyProtection="1">
      <protection locked="0"/>
    </xf>
    <xf numFmtId="0" fontId="72" fillId="0" borderId="0" xfId="14" applyFont="1" applyBorder="1" applyAlignment="1" applyProtection="1">
      <protection locked="0"/>
    </xf>
    <xf numFmtId="0" fontId="72" fillId="0" borderId="0" xfId="14" applyFont="1" applyBorder="1" applyProtection="1">
      <protection locked="0"/>
    </xf>
    <xf numFmtId="211" fontId="69" fillId="56" borderId="80" xfId="11" applyNumberFormat="1" applyFont="1" applyFill="1" applyBorder="1" applyAlignment="1">
      <alignment horizontal="center" vertical="center" wrapText="1"/>
    </xf>
    <xf numFmtId="211" fontId="69" fillId="28" borderId="80" xfId="11" applyNumberFormat="1" applyFont="1" applyFill="1" applyBorder="1" applyAlignment="1">
      <alignment horizontal="center" vertical="center" wrapText="1"/>
    </xf>
    <xf numFmtId="211" fontId="109" fillId="54" borderId="80" xfId="11" applyNumberFormat="1" applyFont="1" applyFill="1" applyBorder="1" applyAlignment="1">
      <alignment horizontal="center" vertical="center" wrapText="1"/>
    </xf>
    <xf numFmtId="0" fontId="182" fillId="0" borderId="0" xfId="14" applyFont="1" applyAlignment="1">
      <alignment horizontal="justify" vertical="top"/>
    </xf>
    <xf numFmtId="0" fontId="116" fillId="59" borderId="111" xfId="11" applyFont="1" applyFill="1" applyBorder="1" applyAlignment="1">
      <alignment vertical="center" wrapText="1"/>
    </xf>
    <xf numFmtId="0" fontId="116" fillId="59" borderId="108" xfId="11" applyFont="1" applyFill="1" applyBorder="1" applyAlignment="1">
      <alignment vertical="center" wrapText="1"/>
    </xf>
    <xf numFmtId="172" fontId="121" fillId="45" borderId="80" xfId="30" applyNumberFormat="1" applyFont="1" applyFill="1" applyBorder="1" applyAlignment="1" applyProtection="1">
      <alignment horizontal="left"/>
    </xf>
    <xf numFmtId="184" fontId="112" fillId="68" borderId="80" xfId="2" applyNumberFormat="1" applyFont="1" applyFill="1" applyBorder="1" applyAlignment="1">
      <alignment vertical="center"/>
    </xf>
    <xf numFmtId="0" fontId="126" fillId="4" borderId="80" xfId="0" applyFont="1" applyFill="1" applyBorder="1" applyAlignment="1">
      <alignment horizontal="center" vertical="center" wrapText="1"/>
    </xf>
    <xf numFmtId="0" fontId="126" fillId="4" borderId="80" xfId="11" applyFont="1" applyFill="1" applyBorder="1" applyAlignment="1">
      <alignment horizontal="center" vertical="center" wrapText="1"/>
    </xf>
    <xf numFmtId="0" fontId="108" fillId="0" borderId="0" xfId="8" applyFont="1"/>
    <xf numFmtId="0" fontId="223" fillId="0" borderId="0" xfId="8" applyFont="1"/>
    <xf numFmtId="168" fontId="108" fillId="0" borderId="0" xfId="8" applyNumberFormat="1" applyFont="1"/>
    <xf numFmtId="0" fontId="108" fillId="0" borderId="0" xfId="8" applyFont="1" applyFill="1"/>
    <xf numFmtId="0" fontId="224" fillId="0" borderId="0" xfId="8" applyFont="1" applyFill="1" applyAlignment="1">
      <alignment horizontal="center"/>
    </xf>
    <xf numFmtId="168" fontId="69" fillId="0" borderId="0" xfId="0" applyNumberFormat="1" applyFont="1"/>
    <xf numFmtId="168" fontId="96" fillId="0" borderId="0" xfId="0" applyNumberFormat="1" applyFont="1"/>
    <xf numFmtId="168" fontId="109" fillId="67" borderId="80" xfId="10" applyNumberFormat="1" applyFont="1" applyFill="1" applyBorder="1" applyAlignment="1">
      <alignment horizontal="center" vertical="center"/>
    </xf>
    <xf numFmtId="168" fontId="113" fillId="66" borderId="80" xfId="10" applyNumberFormat="1" applyFont="1" applyFill="1" applyBorder="1" applyAlignment="1">
      <alignment horizontal="center" vertical="justify"/>
    </xf>
    <xf numFmtId="168" fontId="113" fillId="64" borderId="80" xfId="10" applyNumberFormat="1" applyFont="1" applyFill="1" applyBorder="1" applyAlignment="1">
      <alignment horizontal="center" vertical="justify"/>
    </xf>
    <xf numFmtId="184" fontId="227" fillId="19" borderId="80" xfId="2" applyNumberFormat="1" applyFont="1" applyFill="1" applyBorder="1" applyAlignment="1">
      <alignment horizontal="right" vertical="center" indent="1"/>
    </xf>
    <xf numFmtId="0" fontId="228" fillId="34" borderId="0" xfId="11" applyFont="1" applyFill="1" applyBorder="1" applyAlignment="1">
      <alignment vertical="center"/>
    </xf>
    <xf numFmtId="0" fontId="229" fillId="34" borderId="0" xfId="11" applyFont="1" applyFill="1" applyBorder="1" applyAlignment="1">
      <alignment horizontal="center" vertical="center" wrapText="1"/>
    </xf>
    <xf numFmtId="0" fontId="226" fillId="34" borderId="0" xfId="11" quotePrefix="1" applyFont="1" applyFill="1" applyBorder="1" applyAlignment="1">
      <alignment horizontal="center" vertical="center" wrapText="1"/>
    </xf>
    <xf numFmtId="186" fontId="226" fillId="34" borderId="0" xfId="2" applyNumberFormat="1" applyFont="1" applyFill="1" applyBorder="1" applyAlignment="1">
      <alignment horizontal="right" vertical="center"/>
    </xf>
    <xf numFmtId="186" fontId="116" fillId="34" borderId="0" xfId="2" applyNumberFormat="1" applyFont="1" applyFill="1" applyBorder="1" applyAlignment="1">
      <alignment vertical="center"/>
    </xf>
    <xf numFmtId="0" fontId="226" fillId="34" borderId="0" xfId="11" applyFont="1" applyFill="1" applyBorder="1" applyAlignment="1">
      <alignment horizontal="center" vertical="center" wrapText="1"/>
    </xf>
    <xf numFmtId="0" fontId="116" fillId="34" borderId="0" xfId="11" applyFont="1" applyFill="1" applyBorder="1" applyAlignment="1">
      <alignment horizontal="center" vertical="center" wrapText="1"/>
    </xf>
    <xf numFmtId="186" fontId="116" fillId="34" borderId="0" xfId="2" applyNumberFormat="1" applyFont="1" applyFill="1" applyBorder="1" applyAlignment="1">
      <alignment horizontal="right" vertical="center"/>
    </xf>
    <xf numFmtId="0" fontId="230" fillId="0" borderId="0" xfId="11" applyFont="1"/>
    <xf numFmtId="0" fontId="231" fillId="0" borderId="0" xfId="11" applyFont="1" applyAlignment="1">
      <alignment horizontal="center"/>
    </xf>
    <xf numFmtId="0" fontId="231" fillId="0" borderId="0" xfId="11" quotePrefix="1" applyFont="1" applyAlignment="1">
      <alignment horizontal="center"/>
    </xf>
    <xf numFmtId="0" fontId="228" fillId="0" borderId="0" xfId="11" applyFont="1"/>
    <xf numFmtId="176" fontId="228" fillId="0" borderId="0" xfId="2" applyNumberFormat="1" applyFont="1"/>
    <xf numFmtId="212" fontId="228" fillId="0" borderId="0" xfId="2" applyNumberFormat="1" applyFont="1"/>
    <xf numFmtId="168" fontId="228" fillId="0" borderId="0" xfId="11" applyNumberFormat="1" applyFont="1"/>
    <xf numFmtId="212" fontId="232" fillId="0" borderId="0" xfId="2" applyNumberFormat="1" applyFont="1"/>
    <xf numFmtId="168" fontId="232" fillId="0" borderId="0" xfId="2" applyNumberFormat="1" applyFont="1"/>
    <xf numFmtId="0" fontId="28" fillId="0" borderId="0" xfId="0" applyFont="1" applyBorder="1" applyAlignment="1">
      <alignment horizontal="centerContinuous" vertical="center" wrapText="1"/>
    </xf>
    <xf numFmtId="181" fontId="56" fillId="0" borderId="0" xfId="2" applyNumberFormat="1" applyFont="1" applyBorder="1" applyAlignment="1">
      <alignment vertical="center"/>
    </xf>
    <xf numFmtId="165" fontId="0" fillId="0" borderId="0" xfId="0" applyNumberFormat="1" applyBorder="1"/>
    <xf numFmtId="0" fontId="46" fillId="0" borderId="0" xfId="0" applyFont="1" applyBorder="1" applyAlignment="1">
      <alignment vertical="top" wrapText="1"/>
    </xf>
    <xf numFmtId="0" fontId="45" fillId="0" borderId="0" xfId="0" applyFont="1" applyBorder="1" applyAlignment="1">
      <alignment horizontal="left" vertical="top"/>
    </xf>
    <xf numFmtId="0" fontId="233" fillId="69" borderId="0" xfId="14" applyFont="1" applyFill="1" applyBorder="1" applyAlignment="1">
      <alignment horizontal="center" vertical="center"/>
    </xf>
    <xf numFmtId="0" fontId="233" fillId="69" borderId="0" xfId="14" applyFont="1" applyFill="1" applyBorder="1" applyAlignment="1">
      <alignment horizontal="center" vertical="center" wrapText="1"/>
    </xf>
    <xf numFmtId="0" fontId="108" fillId="34" borderId="0" xfId="14" applyFont="1" applyFill="1" applyBorder="1"/>
    <xf numFmtId="44" fontId="108" fillId="69" borderId="0" xfId="14" applyNumberFormat="1" applyFont="1" applyFill="1" applyBorder="1" applyAlignment="1">
      <alignment vertical="center"/>
    </xf>
    <xf numFmtId="43" fontId="108" fillId="69" borderId="0" xfId="14" applyNumberFormat="1" applyFont="1" applyFill="1" applyBorder="1" applyAlignment="1">
      <alignment vertical="center" wrapText="1"/>
    </xf>
    <xf numFmtId="43" fontId="108" fillId="69" borderId="0" xfId="14" applyNumberFormat="1" applyFont="1" applyFill="1" applyBorder="1" applyAlignment="1">
      <alignment vertical="center"/>
    </xf>
    <xf numFmtId="0" fontId="234" fillId="0" borderId="0" xfId="21" applyFont="1"/>
    <xf numFmtId="0" fontId="234" fillId="34" borderId="0" xfId="21" applyFont="1" applyFill="1"/>
    <xf numFmtId="0" fontId="116" fillId="34" borderId="0" xfId="21" applyFont="1" applyFill="1"/>
    <xf numFmtId="0" fontId="234" fillId="34" borderId="0" xfId="21" applyFont="1" applyFill="1" applyBorder="1" applyAlignment="1">
      <alignment horizontal="center" vertical="center" wrapText="1"/>
    </xf>
    <xf numFmtId="164" fontId="108" fillId="34" borderId="0" xfId="18" applyNumberFormat="1" applyFont="1" applyFill="1" applyBorder="1"/>
    <xf numFmtId="0" fontId="234" fillId="34" borderId="0" xfId="21" applyFont="1" applyFill="1" applyAlignment="1">
      <alignment horizontal="center"/>
    </xf>
    <xf numFmtId="164" fontId="108" fillId="34" borderId="0" xfId="18" applyNumberFormat="1" applyFont="1" applyFill="1"/>
    <xf numFmtId="0" fontId="234" fillId="34" borderId="0" xfId="21" applyFont="1" applyFill="1" applyBorder="1"/>
    <xf numFmtId="0" fontId="210" fillId="0" borderId="0" xfId="14" applyFont="1" applyBorder="1" applyAlignment="1">
      <alignment vertical="top"/>
    </xf>
    <xf numFmtId="169" fontId="69" fillId="0" borderId="0" xfId="27" applyFont="1" applyBorder="1"/>
    <xf numFmtId="165" fontId="96" fillId="0" borderId="0" xfId="2" applyNumberFormat="1" applyFont="1" applyBorder="1"/>
    <xf numFmtId="0" fontId="160" fillId="0" borderId="0" xfId="14" applyFont="1" applyBorder="1" applyAlignment="1">
      <alignment horizontal="center" vertical="center" wrapText="1"/>
    </xf>
    <xf numFmtId="169" fontId="160" fillId="0" borderId="0" xfId="27" applyFont="1" applyBorder="1" applyAlignment="1">
      <alignment horizontal="center" vertical="center" wrapText="1"/>
    </xf>
    <xf numFmtId="0" fontId="68" fillId="0" borderId="0" xfId="14" applyFont="1" applyBorder="1" applyAlignment="1">
      <alignment horizontal="left"/>
    </xf>
    <xf numFmtId="200" fontId="68" fillId="0" borderId="0" xfId="14" applyNumberFormat="1" applyFont="1" applyBorder="1" applyAlignment="1">
      <alignment horizontal="right"/>
    </xf>
    <xf numFmtId="169" fontId="68" fillId="0" borderId="0" xfId="27" applyFont="1" applyBorder="1" applyAlignment="1">
      <alignment horizontal="right"/>
    </xf>
    <xf numFmtId="0" fontId="81" fillId="0" borderId="0" xfId="14" applyFont="1" applyBorder="1" applyAlignment="1">
      <alignment horizontal="left"/>
    </xf>
    <xf numFmtId="200" fontId="81" fillId="0" borderId="0" xfId="14" applyNumberFormat="1" applyFont="1" applyBorder="1" applyAlignment="1">
      <alignment horizontal="right"/>
    </xf>
    <xf numFmtId="201" fontId="81" fillId="0" borderId="0" xfId="27" applyNumberFormat="1" applyFont="1" applyBorder="1" applyAlignment="1">
      <alignment horizontal="right"/>
    </xf>
    <xf numFmtId="0" fontId="108" fillId="0" borderId="0" xfId="14" applyFont="1" applyBorder="1"/>
    <xf numFmtId="43" fontId="108" fillId="12" borderId="0" xfId="14" applyNumberFormat="1" applyFont="1" applyFill="1" applyBorder="1" applyAlignment="1"/>
    <xf numFmtId="43" fontId="108" fillId="12" borderId="0" xfId="14" applyNumberFormat="1" applyFont="1" applyFill="1" applyBorder="1" applyAlignment="1">
      <alignment vertical="top"/>
    </xf>
    <xf numFmtId="0" fontId="202" fillId="34" borderId="0" xfId="14" applyFont="1" applyFill="1" applyBorder="1" applyAlignment="1">
      <alignment horizontal="center" vertical="center" wrapText="1" readingOrder="1"/>
    </xf>
    <xf numFmtId="0" fontId="235" fillId="34" borderId="0" xfId="14" applyFont="1" applyFill="1" applyBorder="1"/>
    <xf numFmtId="0" fontId="234" fillId="34" borderId="0" xfId="14" applyFont="1" applyFill="1" applyBorder="1" applyAlignment="1">
      <alignment horizontal="center" vertical="top" wrapText="1" readingOrder="1"/>
    </xf>
    <xf numFmtId="166" fontId="234" fillId="34" borderId="0" xfId="14" applyNumberFormat="1" applyFont="1" applyFill="1" applyBorder="1" applyAlignment="1">
      <alignment horizontal="center" vertical="top" wrapText="1" readingOrder="1"/>
    </xf>
    <xf numFmtId="164" fontId="234" fillId="34" borderId="0" xfId="2" applyNumberFormat="1" applyFont="1" applyFill="1" applyBorder="1" applyAlignment="1">
      <alignment horizontal="center" vertical="top" wrapText="1" readingOrder="1"/>
    </xf>
    <xf numFmtId="0" fontId="236" fillId="0" borderId="0" xfId="0" applyFont="1" applyFill="1" applyBorder="1"/>
    <xf numFmtId="164" fontId="236" fillId="0" borderId="0" xfId="2" applyNumberFormat="1" applyFont="1" applyFill="1" applyBorder="1"/>
    <xf numFmtId="0" fontId="236" fillId="0" borderId="0" xfId="11" applyFont="1" applyFill="1" applyBorder="1" applyAlignment="1">
      <alignment horizontal="left" vertical="center" wrapText="1"/>
    </xf>
    <xf numFmtId="191" fontId="236" fillId="0" borderId="0" xfId="2" applyNumberFormat="1" applyFont="1" applyFill="1" applyBorder="1" applyAlignment="1">
      <alignment vertical="center"/>
    </xf>
    <xf numFmtId="184" fontId="236" fillId="0" borderId="0" xfId="2" applyNumberFormat="1" applyFont="1" applyFill="1" applyBorder="1" applyAlignment="1">
      <alignment horizontal="right" vertical="center"/>
    </xf>
    <xf numFmtId="184" fontId="236" fillId="0" borderId="0" xfId="2" applyNumberFormat="1" applyFont="1" applyFill="1" applyBorder="1" applyAlignment="1">
      <alignment vertical="center"/>
    </xf>
    <xf numFmtId="0" fontId="236" fillId="0" borderId="0" xfId="11" applyFont="1" applyFill="1" applyBorder="1" applyAlignment="1">
      <alignment horizontal="center" vertical="center" wrapText="1"/>
    </xf>
    <xf numFmtId="193" fontId="237" fillId="0" borderId="0" xfId="2" applyNumberFormat="1" applyFont="1" applyFill="1" applyBorder="1" applyAlignment="1">
      <alignment horizontal="right" vertical="center"/>
    </xf>
    <xf numFmtId="0" fontId="238" fillId="0" borderId="0" xfId="0" applyFont="1" applyFill="1" applyBorder="1"/>
    <xf numFmtId="2" fontId="238" fillId="0" borderId="0" xfId="0" applyNumberFormat="1" applyFont="1" applyFill="1" applyBorder="1" applyAlignment="1">
      <alignment horizontal="center"/>
    </xf>
    <xf numFmtId="2" fontId="238" fillId="0" borderId="0" xfId="2" applyNumberFormat="1" applyFont="1" applyFill="1" applyBorder="1" applyAlignment="1">
      <alignment horizontal="center"/>
    </xf>
    <xf numFmtId="189" fontId="238" fillId="0" borderId="0" xfId="10" applyNumberFormat="1" applyFont="1" applyFill="1" applyBorder="1"/>
    <xf numFmtId="190" fontId="238" fillId="0" borderId="0" xfId="10" applyNumberFormat="1" applyFont="1" applyFill="1" applyBorder="1" applyAlignment="1">
      <alignment horizontal="center"/>
    </xf>
    <xf numFmtId="0" fontId="239" fillId="0" borderId="0" xfId="0" applyFont="1" applyFill="1" applyBorder="1" applyAlignment="1">
      <alignment vertical="center"/>
    </xf>
    <xf numFmtId="0" fontId="239" fillId="0" borderId="0" xfId="0" applyFont="1" applyFill="1" applyBorder="1"/>
    <xf numFmtId="0" fontId="239" fillId="0" borderId="0" xfId="0" applyFont="1" applyFill="1" applyBorder="1" applyAlignment="1">
      <alignment vertical="top"/>
    </xf>
    <xf numFmtId="0" fontId="240" fillId="0" borderId="0" xfId="0" applyFont="1" applyFill="1" applyBorder="1" applyAlignment="1">
      <alignment horizontal="left" vertical="top"/>
    </xf>
    <xf numFmtId="0" fontId="240" fillId="0" borderId="0" xfId="0" applyFont="1" applyFill="1" applyBorder="1" applyAlignment="1">
      <alignment vertical="center"/>
    </xf>
    <xf numFmtId="0" fontId="240" fillId="0" borderId="0" xfId="0" applyFont="1" applyFill="1" applyBorder="1" applyAlignment="1">
      <alignment vertical="top"/>
    </xf>
    <xf numFmtId="0" fontId="109" fillId="0" borderId="0" xfId="0" applyFont="1" applyFill="1" applyBorder="1"/>
    <xf numFmtId="0" fontId="108" fillId="0" borderId="0" xfId="0" applyFont="1" applyFill="1" applyBorder="1"/>
    <xf numFmtId="0" fontId="109" fillId="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vertical="center"/>
    </xf>
    <xf numFmtId="196" fontId="108" fillId="0" borderId="0" xfId="0" applyNumberFormat="1" applyFont="1" applyFill="1" applyBorder="1" applyAlignment="1">
      <alignment vertical="center"/>
    </xf>
    <xf numFmtId="0" fontId="109" fillId="34" borderId="0" xfId="0" applyFont="1" applyFill="1"/>
    <xf numFmtId="0" fontId="108" fillId="34" borderId="0" xfId="0" applyFont="1" applyFill="1"/>
    <xf numFmtId="0" fontId="109" fillId="34" borderId="121" xfId="0" applyFont="1" applyFill="1" applyBorder="1" applyAlignment="1">
      <alignment horizontal="center" vertical="center"/>
    </xf>
    <xf numFmtId="0" fontId="109" fillId="34" borderId="122" xfId="0" applyFont="1" applyFill="1" applyBorder="1" applyAlignment="1">
      <alignment horizontal="center" wrapText="1"/>
    </xf>
    <xf numFmtId="0" fontId="108" fillId="34" borderId="201" xfId="0" applyFont="1" applyFill="1" applyBorder="1" applyAlignment="1">
      <alignment horizontal="center"/>
    </xf>
    <xf numFmtId="0" fontId="108" fillId="34" borderId="123" xfId="0" applyFont="1" applyFill="1" applyBorder="1" applyAlignment="1">
      <alignment vertical="center"/>
    </xf>
    <xf numFmtId="202" fontId="108" fillId="34" borderId="124" xfId="2" applyNumberFormat="1" applyFont="1" applyFill="1" applyBorder="1"/>
    <xf numFmtId="197" fontId="108" fillId="34" borderId="124" xfId="0" applyNumberFormat="1" applyFont="1" applyFill="1" applyBorder="1"/>
    <xf numFmtId="198" fontId="108" fillId="34" borderId="125" xfId="0" applyNumberFormat="1" applyFont="1" applyFill="1" applyBorder="1"/>
    <xf numFmtId="202" fontId="108" fillId="34" borderId="0" xfId="0" applyNumberFormat="1" applyFont="1" applyFill="1"/>
    <xf numFmtId="198" fontId="108" fillId="34" borderId="126" xfId="0" applyNumberFormat="1" applyFont="1" applyFill="1" applyBorder="1"/>
    <xf numFmtId="0" fontId="114" fillId="0" borderId="0" xfId="0" applyFont="1" applyBorder="1" applyAlignment="1">
      <alignment horizontal="justify" vertical="top" wrapText="1"/>
    </xf>
    <xf numFmtId="0" fontId="114" fillId="0" borderId="0" xfId="0" applyFont="1" applyAlignment="1">
      <alignment horizontal="justify" vertical="top" wrapText="1"/>
    </xf>
    <xf numFmtId="0" fontId="116" fillId="17" borderId="0" xfId="0" applyFont="1" applyFill="1" applyAlignment="1">
      <alignment vertical="center" wrapText="1"/>
    </xf>
    <xf numFmtId="0" fontId="114" fillId="0" borderId="109" xfId="0" applyFont="1" applyBorder="1" applyAlignment="1">
      <alignment horizontal="justify" vertical="top" wrapText="1"/>
    </xf>
    <xf numFmtId="0" fontId="119" fillId="17" borderId="0" xfId="0" applyFont="1" applyFill="1" applyAlignment="1">
      <alignment vertical="center" wrapText="1"/>
    </xf>
    <xf numFmtId="0" fontId="112" fillId="0" borderId="0" xfId="11" applyFont="1" applyAlignment="1">
      <alignment wrapText="1"/>
    </xf>
    <xf numFmtId="0" fontId="112" fillId="0" borderId="0" xfId="0" applyFont="1" applyAlignment="1">
      <alignment wrapText="1"/>
    </xf>
    <xf numFmtId="0" fontId="113" fillId="0" borderId="0" xfId="11" applyFont="1" applyAlignment="1">
      <alignment wrapText="1"/>
    </xf>
    <xf numFmtId="0" fontId="113" fillId="0" borderId="0" xfId="0" applyFont="1" applyAlignment="1">
      <alignment wrapText="1"/>
    </xf>
    <xf numFmtId="0" fontId="78" fillId="0" borderId="0" xfId="11" applyFont="1" applyAlignment="1">
      <alignment vertical="center"/>
    </xf>
    <xf numFmtId="0" fontId="61" fillId="0" borderId="0" xfId="11" applyFont="1" applyAlignment="1">
      <alignment horizontal="left" vertical="top" wrapText="1"/>
    </xf>
    <xf numFmtId="0" fontId="61" fillId="0" borderId="0" xfId="11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top"/>
    </xf>
    <xf numFmtId="0" fontId="22" fillId="0" borderId="0" xfId="0" applyFont="1" applyAlignment="1">
      <alignment horizontal="justify" vertical="top"/>
    </xf>
    <xf numFmtId="0" fontId="17" fillId="0" borderId="0" xfId="0" applyFont="1" applyAlignment="1">
      <alignment horizontal="justify" vertical="top"/>
    </xf>
    <xf numFmtId="0" fontId="45" fillId="0" borderId="0" xfId="0" applyFont="1" applyAlignment="1">
      <alignment vertical="top"/>
    </xf>
    <xf numFmtId="0" fontId="115" fillId="0" borderId="0" xfId="0" applyFont="1" applyAlignment="1">
      <alignment horizontal="justify" vertical="top" wrapText="1"/>
    </xf>
    <xf numFmtId="0" fontId="114" fillId="0" borderId="0" xfId="0" applyFont="1" applyBorder="1" applyAlignment="1">
      <alignment horizontal="justify" vertical="top"/>
    </xf>
    <xf numFmtId="0" fontId="114" fillId="0" borderId="0" xfId="0" applyFont="1" applyAlignment="1">
      <alignment horizontal="left" vertical="top" wrapText="1"/>
    </xf>
    <xf numFmtId="0" fontId="74" fillId="4" borderId="89" xfId="0" applyFont="1" applyFill="1" applyBorder="1" applyAlignment="1">
      <alignment horizontal="center" vertical="center" wrapText="1"/>
    </xf>
    <xf numFmtId="0" fontId="74" fillId="4" borderId="90" xfId="0" applyFont="1" applyFill="1" applyBorder="1" applyAlignment="1">
      <alignment horizontal="center" vertical="center" wrapText="1"/>
    </xf>
    <xf numFmtId="0" fontId="126" fillId="4" borderId="89" xfId="0" applyFont="1" applyFill="1" applyBorder="1" applyAlignment="1">
      <alignment horizontal="center" vertical="center" wrapText="1"/>
    </xf>
    <xf numFmtId="0" fontId="129" fillId="0" borderId="90" xfId="0" applyFont="1" applyBorder="1" applyAlignment="1">
      <alignment vertical="center"/>
    </xf>
    <xf numFmtId="0" fontId="114" fillId="0" borderId="0" xfId="0" applyFont="1" applyAlignment="1">
      <alignment horizontal="justify" vertical="top"/>
    </xf>
    <xf numFmtId="0" fontId="115" fillId="0" borderId="0" xfId="0" applyFont="1" applyAlignment="1">
      <alignment horizontal="justify" vertical="top"/>
    </xf>
    <xf numFmtId="0" fontId="126" fillId="4" borderId="91" xfId="0" applyFont="1" applyFill="1" applyBorder="1" applyAlignment="1">
      <alignment horizontal="center" vertical="center" wrapText="1"/>
    </xf>
    <xf numFmtId="0" fontId="126" fillId="4" borderId="93" xfId="0" applyFont="1" applyFill="1" applyBorder="1" applyAlignment="1">
      <alignment horizontal="center" vertical="center" wrapText="1"/>
    </xf>
    <xf numFmtId="0" fontId="126" fillId="4" borderId="92" xfId="0" applyFont="1" applyFill="1" applyBorder="1" applyAlignment="1">
      <alignment horizontal="center" vertical="center" wrapText="1"/>
    </xf>
    <xf numFmtId="0" fontId="126" fillId="4" borderId="80" xfId="0" applyFont="1" applyFill="1" applyBorder="1" applyAlignment="1">
      <alignment horizontal="center" vertical="center" wrapText="1"/>
    </xf>
    <xf numFmtId="0" fontId="130" fillId="0" borderId="90" xfId="0" applyFont="1" applyBorder="1" applyAlignment="1">
      <alignment vertical="center"/>
    </xf>
    <xf numFmtId="0" fontId="116" fillId="17" borderId="0" xfId="0" applyFont="1" applyFill="1" applyAlignment="1">
      <alignment horizontal="left" vertical="center" wrapText="1"/>
    </xf>
    <xf numFmtId="0" fontId="23" fillId="0" borderId="0" xfId="0" applyFont="1" applyAlignment="1">
      <alignment horizontal="justify" vertical="top" wrapText="1"/>
    </xf>
    <xf numFmtId="0" fontId="126" fillId="4" borderId="90" xfId="0" applyFont="1" applyFill="1" applyBorder="1" applyAlignment="1">
      <alignment horizontal="center" vertical="center" wrapText="1"/>
    </xf>
    <xf numFmtId="0" fontId="126" fillId="4" borderId="89" xfId="11" applyFont="1" applyFill="1" applyBorder="1" applyAlignment="1">
      <alignment horizontal="center" vertical="center" wrapText="1"/>
    </xf>
    <xf numFmtId="0" fontId="130" fillId="0" borderId="90" xfId="11" applyFont="1" applyBorder="1" applyAlignment="1">
      <alignment vertical="center"/>
    </xf>
    <xf numFmtId="0" fontId="0" fillId="0" borderId="0" xfId="0" applyAlignment="1">
      <alignment vertical="center" wrapText="1"/>
    </xf>
    <xf numFmtId="0" fontId="194" fillId="0" borderId="0" xfId="0" applyFont="1" applyAlignment="1">
      <alignment horizontal="justify" vertical="top" wrapText="1"/>
    </xf>
    <xf numFmtId="0" fontId="36" fillId="0" borderId="0" xfId="0" applyFont="1" applyAlignment="1">
      <alignment vertical="center" wrapText="1"/>
    </xf>
    <xf numFmtId="0" fontId="126" fillId="4" borderId="91" xfId="0" applyFont="1" applyFill="1" applyBorder="1" applyAlignment="1">
      <alignment horizontal="left" vertical="center" wrapText="1"/>
    </xf>
    <xf numFmtId="0" fontId="126" fillId="4" borderId="92" xfId="0" applyFont="1" applyFill="1" applyBorder="1" applyAlignment="1">
      <alignment horizontal="left" vertical="center" wrapText="1"/>
    </xf>
    <xf numFmtId="0" fontId="116" fillId="17" borderId="0" xfId="11" applyFont="1" applyFill="1" applyAlignment="1">
      <alignment vertical="center" wrapText="1"/>
    </xf>
    <xf numFmtId="0" fontId="171" fillId="0" borderId="109" xfId="0" applyFont="1" applyBorder="1" applyAlignment="1">
      <alignment horizontal="justify" vertical="center"/>
    </xf>
    <xf numFmtId="0" fontId="126" fillId="4" borderId="91" xfId="11" applyFont="1" applyFill="1" applyBorder="1" applyAlignment="1">
      <alignment horizontal="left" vertical="center" wrapText="1"/>
    </xf>
    <xf numFmtId="0" fontId="126" fillId="4" borderId="92" xfId="11" applyFont="1" applyFill="1" applyBorder="1" applyAlignment="1">
      <alignment horizontal="left" vertical="center" wrapText="1"/>
    </xf>
    <xf numFmtId="0" fontId="188" fillId="25" borderId="0" xfId="11" applyFont="1" applyFill="1" applyAlignment="1">
      <alignment vertical="center" wrapText="1"/>
    </xf>
    <xf numFmtId="0" fontId="114" fillId="0" borderId="0" xfId="11" applyFont="1" applyAlignment="1">
      <alignment horizontal="left" vertical="top" wrapText="1"/>
    </xf>
    <xf numFmtId="0" fontId="114" fillId="0" borderId="0" xfId="11" applyFont="1" applyBorder="1" applyAlignment="1">
      <alignment horizontal="justify" vertical="top"/>
    </xf>
    <xf numFmtId="0" fontId="126" fillId="4" borderId="80" xfId="11" applyFont="1" applyFill="1" applyBorder="1" applyAlignment="1">
      <alignment horizontal="center" vertical="center" wrapText="1"/>
    </xf>
    <xf numFmtId="0" fontId="114" fillId="0" borderId="0" xfId="11" applyFont="1" applyAlignment="1">
      <alignment horizontal="justify" vertical="top"/>
    </xf>
    <xf numFmtId="0" fontId="115" fillId="0" borderId="0" xfId="11" applyFont="1" applyAlignment="1">
      <alignment horizontal="justify" vertical="top"/>
    </xf>
    <xf numFmtId="0" fontId="45" fillId="0" borderId="0" xfId="0" applyFont="1" applyAlignment="1">
      <alignment horizontal="justify"/>
    </xf>
    <xf numFmtId="0" fontId="57" fillId="0" borderId="0" xfId="0" applyFont="1" applyAlignment="1">
      <alignment horizontal="justify"/>
    </xf>
    <xf numFmtId="0" fontId="83" fillId="0" borderId="0" xfId="0" applyFont="1" applyAlignment="1">
      <alignment horizontal="justify"/>
    </xf>
    <xf numFmtId="0" fontId="82" fillId="0" borderId="0" xfId="0" applyFont="1" applyAlignment="1">
      <alignment horizontal="justify"/>
    </xf>
    <xf numFmtId="0" fontId="127" fillId="0" borderId="0" xfId="0" applyFont="1" applyAlignment="1">
      <alignment horizontal="justify" vertical="top"/>
    </xf>
    <xf numFmtId="0" fontId="128" fillId="0" borderId="0" xfId="0" applyFont="1" applyAlignment="1">
      <alignment horizontal="justify" vertical="top"/>
    </xf>
    <xf numFmtId="0" fontId="83" fillId="0" borderId="0" xfId="0" applyFont="1" applyAlignment="1">
      <alignment horizontal="justify" vertical="top"/>
    </xf>
    <xf numFmtId="0" fontId="82" fillId="0" borderId="0" xfId="0" applyFont="1" applyAlignment="1">
      <alignment horizontal="justify" vertical="top"/>
    </xf>
    <xf numFmtId="0" fontId="188" fillId="23" borderId="108" xfId="11" applyFont="1" applyFill="1" applyBorder="1" applyAlignment="1">
      <alignment vertical="center" wrapText="1"/>
    </xf>
    <xf numFmtId="0" fontId="121" fillId="60" borderId="89" xfId="11" applyFont="1" applyFill="1" applyBorder="1" applyAlignment="1">
      <alignment horizontal="center" vertical="center" wrapText="1"/>
    </xf>
    <xf numFmtId="0" fontId="121" fillId="60" borderId="187" xfId="11" applyFont="1" applyFill="1" applyBorder="1" applyAlignment="1">
      <alignment horizontal="center" vertical="center" wrapText="1"/>
    </xf>
    <xf numFmtId="0" fontId="3" fillId="60" borderId="189" xfId="0" applyFont="1" applyFill="1" applyBorder="1" applyAlignment="1">
      <alignment horizontal="center" vertical="center" wrapText="1"/>
    </xf>
    <xf numFmtId="0" fontId="121" fillId="60" borderId="91" xfId="11" applyFont="1" applyFill="1" applyBorder="1" applyAlignment="1">
      <alignment horizontal="center" vertical="center" wrapText="1"/>
    </xf>
    <xf numFmtId="0" fontId="121" fillId="60" borderId="93" xfId="11" applyFont="1" applyFill="1" applyBorder="1" applyAlignment="1">
      <alignment horizontal="center" vertical="center" wrapText="1"/>
    </xf>
    <xf numFmtId="0" fontId="121" fillId="60" borderId="92" xfId="11" applyFont="1" applyFill="1" applyBorder="1" applyAlignment="1">
      <alignment horizontal="center" vertical="center" wrapText="1"/>
    </xf>
    <xf numFmtId="43" fontId="121" fillId="60" borderId="91" xfId="2" applyFont="1" applyFill="1" applyBorder="1" applyAlignment="1">
      <alignment horizontal="center" vertical="center" wrapText="1"/>
    </xf>
    <xf numFmtId="43" fontId="121" fillId="60" borderId="92" xfId="2" applyFont="1" applyFill="1" applyBorder="1" applyAlignment="1">
      <alignment horizontal="center" vertical="center" wrapText="1"/>
    </xf>
    <xf numFmtId="43" fontId="121" fillId="59" borderId="91" xfId="2" applyFont="1" applyFill="1" applyBorder="1" applyAlignment="1">
      <alignment horizontal="center" vertical="center" wrapText="1"/>
    </xf>
    <xf numFmtId="43" fontId="121" fillId="59" borderId="92" xfId="2" applyFont="1" applyFill="1" applyBorder="1" applyAlignment="1">
      <alignment horizontal="center" vertical="center" wrapText="1"/>
    </xf>
    <xf numFmtId="0" fontId="116" fillId="23" borderId="108" xfId="11" applyFont="1" applyFill="1" applyBorder="1" applyAlignment="1">
      <alignment vertical="center" wrapText="1"/>
    </xf>
    <xf numFmtId="0" fontId="121" fillId="43" borderId="91" xfId="0" applyFont="1" applyFill="1" applyBorder="1" applyAlignment="1">
      <alignment horizontal="center" vertical="center" wrapText="1"/>
    </xf>
    <xf numFmtId="0" fontId="36" fillId="43" borderId="93" xfId="0" applyFont="1" applyFill="1" applyBorder="1" applyAlignment="1">
      <alignment horizontal="center" vertical="center" wrapText="1"/>
    </xf>
    <xf numFmtId="0" fontId="121" fillId="43" borderId="92" xfId="0" applyFont="1" applyFill="1" applyBorder="1" applyAlignment="1">
      <alignment horizontal="center" vertical="center" wrapText="1"/>
    </xf>
    <xf numFmtId="0" fontId="157" fillId="0" borderId="0" xfId="0" applyFont="1" applyAlignment="1">
      <alignment horizontal="justify" vertical="center" wrapText="1"/>
    </xf>
    <xf numFmtId="0" fontId="121" fillId="43" borderId="80" xfId="0" applyFont="1" applyFill="1" applyBorder="1" applyAlignment="1">
      <alignment horizontal="center" vertical="center" wrapText="1"/>
    </xf>
    <xf numFmtId="0" fontId="122" fillId="43" borderId="80" xfId="0" applyFont="1" applyFill="1" applyBorder="1" applyAlignment="1">
      <alignment horizontal="center" vertical="center" wrapText="1"/>
    </xf>
    <xf numFmtId="0" fontId="121" fillId="43" borderId="80" xfId="11" applyFont="1" applyFill="1" applyBorder="1" applyAlignment="1">
      <alignment horizontal="center" vertical="center" wrapText="1"/>
    </xf>
    <xf numFmtId="0" fontId="118" fillId="23" borderId="0" xfId="0" applyFont="1" applyFill="1" applyAlignment="1">
      <alignment vertical="center"/>
    </xf>
    <xf numFmtId="0" fontId="195" fillId="0" borderId="0" xfId="0" applyFont="1" applyAlignment="1"/>
    <xf numFmtId="0" fontId="135" fillId="0" borderId="0" xfId="11" applyFont="1" applyAlignment="1">
      <alignment wrapText="1"/>
    </xf>
    <xf numFmtId="0" fontId="136" fillId="0" borderId="0" xfId="11" applyFont="1" applyAlignment="1">
      <alignment wrapText="1"/>
    </xf>
    <xf numFmtId="0" fontId="61" fillId="0" borderId="0" xfId="8" applyFont="1" applyAlignment="1">
      <alignment horizontal="left" wrapText="1"/>
    </xf>
    <xf numFmtId="0" fontId="79" fillId="0" borderId="0" xfId="8" applyFont="1" applyAlignment="1">
      <alignment horizontal="left" wrapText="1"/>
    </xf>
    <xf numFmtId="0" fontId="118" fillId="23" borderId="91" xfId="11" applyFont="1" applyFill="1" applyBorder="1" applyAlignment="1">
      <alignment vertical="center" wrapText="1"/>
    </xf>
    <xf numFmtId="0" fontId="118" fillId="23" borderId="93" xfId="11" applyFont="1" applyFill="1" applyBorder="1" applyAlignment="1">
      <alignment vertical="center" wrapText="1"/>
    </xf>
    <xf numFmtId="0" fontId="116" fillId="23" borderId="93" xfId="11" applyFont="1" applyFill="1" applyBorder="1" applyAlignment="1">
      <alignment vertical="center" wrapText="1"/>
    </xf>
    <xf numFmtId="0" fontId="121" fillId="43" borderId="91" xfId="11" applyFont="1" applyFill="1" applyBorder="1" applyAlignment="1">
      <alignment horizontal="center" vertical="center" wrapText="1"/>
    </xf>
    <xf numFmtId="0" fontId="36" fillId="43" borderId="93" xfId="11" applyFont="1" applyFill="1" applyBorder="1" applyAlignment="1">
      <alignment horizontal="center" vertical="center" wrapText="1"/>
    </xf>
    <xf numFmtId="0" fontId="121" fillId="43" borderId="92" xfId="11" applyFont="1" applyFill="1" applyBorder="1" applyAlignment="1">
      <alignment horizontal="center" vertical="center" wrapText="1"/>
    </xf>
    <xf numFmtId="0" fontId="135" fillId="0" borderId="0" xfId="11" applyFont="1" applyAlignment="1">
      <alignment horizontal="justify" vertical="center" wrapText="1"/>
    </xf>
    <xf numFmtId="0" fontId="122" fillId="43" borderId="80" xfId="11" applyFont="1" applyFill="1" applyBorder="1" applyAlignment="1">
      <alignment horizontal="center" vertical="center" wrapText="1"/>
    </xf>
    <xf numFmtId="0" fontId="116" fillId="41" borderId="108" xfId="11" applyFont="1" applyFill="1" applyBorder="1" applyAlignment="1">
      <alignment vertical="center" wrapText="1"/>
    </xf>
    <xf numFmtId="0" fontId="137" fillId="0" borderId="0" xfId="11" applyFont="1" applyAlignment="1">
      <alignment horizontal="justify" vertical="center" wrapText="1"/>
    </xf>
    <xf numFmtId="0" fontId="121" fillId="45" borderId="80" xfId="11" applyFont="1" applyFill="1" applyBorder="1" applyAlignment="1">
      <alignment horizontal="center" vertical="center" wrapText="1"/>
    </xf>
    <xf numFmtId="0" fontId="122" fillId="45" borderId="80" xfId="11" applyFont="1" applyFill="1" applyBorder="1" applyAlignment="1">
      <alignment horizontal="center" vertical="center" wrapText="1"/>
    </xf>
    <xf numFmtId="0" fontId="121" fillId="45" borderId="91" xfId="11" applyFont="1" applyFill="1" applyBorder="1" applyAlignment="1">
      <alignment horizontal="center" vertical="center" wrapText="1"/>
    </xf>
    <xf numFmtId="0" fontId="36" fillId="45" borderId="93" xfId="11" applyFont="1" applyFill="1" applyBorder="1" applyAlignment="1">
      <alignment horizontal="center" vertical="center" wrapText="1"/>
    </xf>
    <xf numFmtId="0" fontId="121" fillId="45" borderId="92" xfId="11" applyFont="1" applyFill="1" applyBorder="1" applyAlignment="1">
      <alignment horizontal="center" vertical="center" wrapText="1"/>
    </xf>
    <xf numFmtId="0" fontId="118" fillId="41" borderId="0" xfId="11" applyFont="1" applyFill="1" applyBorder="1" applyAlignment="1">
      <alignment vertical="center" wrapText="1"/>
    </xf>
    <xf numFmtId="0" fontId="192" fillId="41" borderId="0" xfId="0" applyFont="1" applyFill="1" applyAlignment="1"/>
    <xf numFmtId="0" fontId="118" fillId="41" borderId="195" xfId="11" applyFont="1" applyFill="1" applyBorder="1" applyAlignment="1">
      <alignment vertical="center" wrapText="1"/>
    </xf>
    <xf numFmtId="0" fontId="118" fillId="41" borderId="196" xfId="11" applyFont="1" applyFill="1" applyBorder="1" applyAlignment="1">
      <alignment vertical="center" wrapText="1"/>
    </xf>
    <xf numFmtId="0" fontId="192" fillId="0" borderId="196" xfId="0" applyFont="1" applyBorder="1" applyAlignment="1">
      <alignment vertical="center" wrapText="1"/>
    </xf>
    <xf numFmtId="0" fontId="192" fillId="0" borderId="197" xfId="0" applyFont="1" applyBorder="1" applyAlignment="1">
      <alignment vertical="center" wrapText="1"/>
    </xf>
    <xf numFmtId="0" fontId="139" fillId="0" borderId="0" xfId="11" applyFont="1" applyAlignment="1">
      <alignment horizontal="justify" vertical="center" wrapText="1"/>
    </xf>
    <xf numFmtId="0" fontId="116" fillId="59" borderId="198" xfId="11" applyFont="1" applyFill="1" applyBorder="1" applyAlignment="1">
      <alignment horizontal="left" vertical="center" wrapText="1"/>
    </xf>
    <xf numFmtId="0" fontId="116" fillId="59" borderId="0" xfId="11" applyFont="1" applyFill="1" applyBorder="1" applyAlignment="1">
      <alignment horizontal="left" vertical="center" wrapText="1"/>
    </xf>
    <xf numFmtId="0" fontId="182" fillId="0" borderId="0" xfId="14" applyFont="1" applyAlignment="1">
      <alignment horizontal="justify" vertical="top"/>
    </xf>
    <xf numFmtId="172" fontId="187" fillId="45" borderId="89" xfId="30" applyFont="1" applyFill="1" applyBorder="1" applyAlignment="1">
      <alignment horizontal="left" textRotation="90" wrapText="1"/>
    </xf>
    <xf numFmtId="172" fontId="187" fillId="45" borderId="187" xfId="30" applyFont="1" applyFill="1" applyBorder="1" applyAlignment="1">
      <alignment horizontal="left" textRotation="90" wrapText="1"/>
    </xf>
    <xf numFmtId="172" fontId="187" fillId="45" borderId="90" xfId="30" applyFont="1" applyFill="1" applyBorder="1" applyAlignment="1">
      <alignment horizontal="left" textRotation="90" wrapText="1"/>
    </xf>
    <xf numFmtId="172" fontId="187" fillId="43" borderId="89" xfId="30" applyFont="1" applyFill="1" applyBorder="1" applyAlignment="1">
      <alignment horizontal="left" textRotation="90" wrapText="1"/>
    </xf>
    <xf numFmtId="172" fontId="187" fillId="43" borderId="187" xfId="30" applyFont="1" applyFill="1" applyBorder="1" applyAlignment="1">
      <alignment horizontal="left" textRotation="90" wrapText="1"/>
    </xf>
    <xf numFmtId="172" fontId="187" fillId="43" borderId="90" xfId="30" applyFont="1" applyFill="1" applyBorder="1" applyAlignment="1">
      <alignment horizontal="left" textRotation="90" wrapText="1"/>
    </xf>
    <xf numFmtId="172" fontId="121" fillId="45" borderId="89" xfId="30" applyFont="1" applyFill="1" applyBorder="1" applyAlignment="1">
      <alignment horizontal="center" vertical="center" wrapText="1"/>
    </xf>
    <xf numFmtId="172" fontId="121" fillId="45" borderId="187" xfId="30" applyFont="1" applyFill="1" applyBorder="1" applyAlignment="1">
      <alignment horizontal="center" vertical="center" wrapText="1"/>
    </xf>
    <xf numFmtId="172" fontId="121" fillId="45" borderId="90" xfId="30" applyFont="1" applyFill="1" applyBorder="1" applyAlignment="1">
      <alignment horizontal="center" vertical="center" wrapText="1"/>
    </xf>
    <xf numFmtId="0" fontId="183" fillId="41" borderId="183" xfId="14" applyFont="1" applyFill="1" applyBorder="1" applyAlignment="1">
      <alignment horizontal="center" wrapText="1"/>
    </xf>
    <xf numFmtId="0" fontId="183" fillId="41" borderId="185" xfId="14" applyFont="1" applyFill="1" applyBorder="1" applyAlignment="1">
      <alignment horizontal="center" wrapText="1"/>
    </xf>
    <xf numFmtId="0" fontId="183" fillId="41" borderId="186" xfId="14" applyFont="1" applyFill="1" applyBorder="1" applyAlignment="1">
      <alignment horizontal="center" wrapText="1"/>
    </xf>
    <xf numFmtId="0" fontId="184" fillId="41" borderId="183" xfId="14" applyFont="1" applyFill="1" applyBorder="1" applyAlignment="1">
      <alignment horizontal="center" wrapText="1"/>
    </xf>
    <xf numFmtId="0" fontId="184" fillId="41" borderId="185" xfId="14" applyFont="1" applyFill="1" applyBorder="1" applyAlignment="1">
      <alignment horizontal="center" wrapText="1"/>
    </xf>
    <xf numFmtId="0" fontId="184" fillId="41" borderId="186" xfId="14" applyFont="1" applyFill="1" applyBorder="1" applyAlignment="1">
      <alignment horizontal="center" wrapText="1"/>
    </xf>
    <xf numFmtId="0" fontId="184" fillId="48" borderId="183" xfId="14" applyFont="1" applyFill="1" applyBorder="1" applyAlignment="1">
      <alignment horizontal="center" wrapText="1"/>
    </xf>
    <xf numFmtId="0" fontId="184" fillId="48" borderId="185" xfId="14" applyFont="1" applyFill="1" applyBorder="1" applyAlignment="1">
      <alignment horizontal="center" wrapText="1"/>
    </xf>
    <xf numFmtId="0" fontId="184" fillId="48" borderId="186" xfId="14" applyFont="1" applyFill="1" applyBorder="1" applyAlignment="1">
      <alignment horizontal="center" wrapText="1"/>
    </xf>
    <xf numFmtId="0" fontId="183" fillId="41" borderId="182" xfId="14" applyFont="1" applyFill="1" applyBorder="1" applyAlignment="1">
      <alignment horizontal="center" wrapText="1"/>
    </xf>
    <xf numFmtId="0" fontId="183" fillId="41" borderId="184" xfId="14" applyFont="1" applyFill="1" applyBorder="1" applyAlignment="1">
      <alignment horizontal="center" wrapText="1"/>
    </xf>
    <xf numFmtId="0" fontId="183" fillId="41" borderId="156" xfId="14" applyFont="1" applyFill="1" applyBorder="1" applyAlignment="1">
      <alignment horizontal="center" wrapText="1"/>
    </xf>
    <xf numFmtId="0" fontId="183" fillId="48" borderId="182" xfId="14" applyFont="1" applyFill="1" applyBorder="1" applyAlignment="1">
      <alignment horizontal="center" wrapText="1"/>
    </xf>
    <xf numFmtId="0" fontId="183" fillId="48" borderId="184" xfId="14" applyFont="1" applyFill="1" applyBorder="1" applyAlignment="1">
      <alignment horizontal="center" wrapText="1"/>
    </xf>
    <xf numFmtId="0" fontId="183" fillId="48" borderId="156" xfId="14" applyFont="1" applyFill="1" applyBorder="1" applyAlignment="1">
      <alignment horizontal="center" wrapText="1"/>
    </xf>
    <xf numFmtId="0" fontId="183" fillId="48" borderId="183" xfId="14" applyFont="1" applyFill="1" applyBorder="1" applyAlignment="1">
      <alignment horizontal="center" wrapText="1"/>
    </xf>
    <xf numFmtId="0" fontId="183" fillId="48" borderId="185" xfId="14" applyFont="1" applyFill="1" applyBorder="1" applyAlignment="1">
      <alignment horizontal="center" wrapText="1"/>
    </xf>
    <xf numFmtId="0" fontId="183" fillId="48" borderId="186" xfId="14" applyFont="1" applyFill="1" applyBorder="1" applyAlignment="1">
      <alignment horizontal="center" wrapText="1"/>
    </xf>
    <xf numFmtId="0" fontId="96" fillId="45" borderId="80" xfId="14" applyFont="1" applyFill="1" applyBorder="1" applyAlignment="1">
      <alignment horizontal="center" wrapText="1"/>
    </xf>
    <xf numFmtId="172" fontId="96" fillId="45" borderId="110" xfId="30" applyFont="1" applyFill="1" applyBorder="1" applyAlignment="1">
      <alignment horizontal="center" wrapText="1"/>
    </xf>
    <xf numFmtId="0" fontId="96" fillId="45" borderId="112" xfId="14" applyFont="1" applyFill="1" applyBorder="1" applyAlignment="1">
      <alignment horizontal="center" wrapText="1"/>
    </xf>
    <xf numFmtId="0" fontId="96" fillId="45" borderId="198" xfId="14" applyFont="1" applyFill="1" applyBorder="1" applyAlignment="1">
      <alignment horizontal="center" wrapText="1"/>
    </xf>
    <xf numFmtId="0" fontId="96" fillId="45" borderId="113" xfId="14" applyFont="1" applyFill="1" applyBorder="1" applyAlignment="1">
      <alignment horizontal="center" wrapText="1"/>
    </xf>
    <xf numFmtId="0" fontId="96" fillId="45" borderId="111" xfId="14" applyFont="1" applyFill="1" applyBorder="1" applyAlignment="1">
      <alignment horizontal="center" wrapText="1"/>
    </xf>
    <xf numFmtId="0" fontId="96" fillId="45" borderId="114" xfId="14" applyFont="1" applyFill="1" applyBorder="1" applyAlignment="1">
      <alignment horizontal="center" wrapText="1"/>
    </xf>
    <xf numFmtId="0" fontId="116" fillId="23" borderId="0" xfId="11" applyFont="1" applyFill="1" applyBorder="1" applyAlignment="1">
      <alignment horizontal="left" vertical="center" wrapText="1"/>
    </xf>
    <xf numFmtId="0" fontId="96" fillId="43" borderId="80" xfId="14" applyFont="1" applyFill="1" applyBorder="1" applyAlignment="1">
      <alignment horizontal="center" wrapText="1"/>
    </xf>
    <xf numFmtId="0" fontId="187" fillId="0" borderId="80" xfId="14" applyFont="1" applyFill="1" applyBorder="1" applyAlignment="1">
      <alignment horizontal="center" wrapText="1"/>
    </xf>
    <xf numFmtId="0" fontId="96" fillId="0" borderId="80" xfId="14" applyFont="1" applyFill="1" applyBorder="1" applyAlignment="1">
      <alignment horizontal="center" wrapText="1"/>
    </xf>
    <xf numFmtId="172" fontId="121" fillId="60" borderId="89" xfId="30" applyFont="1" applyFill="1" applyBorder="1" applyAlignment="1">
      <alignment horizontal="center" vertical="center" wrapText="1"/>
    </xf>
    <xf numFmtId="172" fontId="121" fillId="60" borderId="187" xfId="30" applyFont="1" applyFill="1" applyBorder="1" applyAlignment="1">
      <alignment horizontal="center" vertical="center" wrapText="1"/>
    </xf>
    <xf numFmtId="172" fontId="121" fillId="60" borderId="90" xfId="30" applyFont="1" applyFill="1" applyBorder="1" applyAlignment="1">
      <alignment horizontal="center" vertical="center" wrapText="1"/>
    </xf>
    <xf numFmtId="0" fontId="121" fillId="53" borderId="91" xfId="14" applyFont="1" applyFill="1" applyBorder="1" applyAlignment="1">
      <alignment horizontal="center" vertical="center" wrapText="1"/>
    </xf>
    <xf numFmtId="0" fontId="121" fillId="53" borderId="93" xfId="14" applyFont="1" applyFill="1" applyBorder="1" applyAlignment="1">
      <alignment horizontal="center" vertical="center" wrapText="1"/>
    </xf>
    <xf numFmtId="0" fontId="121" fillId="53" borderId="92" xfId="14" applyFont="1" applyFill="1" applyBorder="1" applyAlignment="1">
      <alignment horizontal="center" vertical="center" wrapText="1"/>
    </xf>
    <xf numFmtId="0" fontId="121" fillId="59" borderId="91" xfId="14" applyFont="1" applyFill="1" applyBorder="1" applyAlignment="1">
      <alignment horizontal="center" vertical="center" wrapText="1"/>
    </xf>
    <xf numFmtId="0" fontId="121" fillId="59" borderId="93" xfId="14" applyFont="1" applyFill="1" applyBorder="1" applyAlignment="1">
      <alignment horizontal="center" vertical="center" wrapText="1"/>
    </xf>
    <xf numFmtId="0" fontId="121" fillId="59" borderId="92" xfId="14" applyFont="1" applyFill="1" applyBorder="1" applyAlignment="1">
      <alignment horizontal="center" vertical="center" wrapText="1"/>
    </xf>
    <xf numFmtId="172" fontId="96" fillId="43" borderId="110" xfId="30" applyFont="1" applyFill="1" applyBorder="1" applyAlignment="1">
      <alignment horizontal="center" wrapText="1"/>
    </xf>
    <xf numFmtId="0" fontId="96" fillId="43" borderId="112" xfId="14" applyFont="1" applyFill="1" applyBorder="1" applyAlignment="1">
      <alignment horizontal="center" wrapText="1"/>
    </xf>
    <xf numFmtId="0" fontId="96" fillId="43" borderId="198" xfId="14" applyFont="1" applyFill="1" applyBorder="1" applyAlignment="1">
      <alignment horizontal="center" wrapText="1"/>
    </xf>
    <xf numFmtId="0" fontId="96" fillId="43" borderId="113" xfId="14" applyFont="1" applyFill="1" applyBorder="1" applyAlignment="1">
      <alignment horizontal="center" wrapText="1"/>
    </xf>
    <xf numFmtId="0" fontId="96" fillId="43" borderId="111" xfId="14" applyFont="1" applyFill="1" applyBorder="1" applyAlignment="1">
      <alignment horizontal="center" wrapText="1"/>
    </xf>
    <xf numFmtId="0" fontId="96" fillId="43" borderId="114" xfId="14" applyFont="1" applyFill="1" applyBorder="1" applyAlignment="1">
      <alignment horizontal="center" wrapText="1"/>
    </xf>
    <xf numFmtId="0" fontId="116" fillId="41" borderId="91" xfId="11" applyFont="1" applyFill="1" applyBorder="1" applyAlignment="1">
      <alignment vertical="center" wrapText="1"/>
    </xf>
    <xf numFmtId="0" fontId="116" fillId="41" borderId="93" xfId="11" applyFont="1" applyFill="1" applyBorder="1" applyAlignment="1">
      <alignment vertical="center" wrapText="1"/>
    </xf>
    <xf numFmtId="0" fontId="0" fillId="41" borderId="92" xfId="0" applyFill="1" applyBorder="1" applyAlignment="1">
      <alignment vertical="center" wrapText="1"/>
    </xf>
    <xf numFmtId="0" fontId="116" fillId="23" borderId="91" xfId="11" applyFont="1" applyFill="1" applyBorder="1" applyAlignment="1">
      <alignment vertical="center" wrapText="1"/>
    </xf>
    <xf numFmtId="0" fontId="36" fillId="23" borderId="92" xfId="0" applyFont="1" applyFill="1" applyBorder="1" applyAlignment="1">
      <alignment vertical="center" wrapText="1"/>
    </xf>
    <xf numFmtId="0" fontId="116" fillId="41" borderId="140" xfId="11" applyFont="1" applyFill="1" applyBorder="1" applyAlignment="1">
      <alignment vertical="center" wrapText="1"/>
    </xf>
    <xf numFmtId="0" fontId="116" fillId="41" borderId="141" xfId="11" applyFont="1" applyFill="1" applyBorder="1" applyAlignment="1">
      <alignment vertical="center" wrapText="1"/>
    </xf>
    <xf numFmtId="0" fontId="0" fillId="41" borderId="142" xfId="0" applyFill="1" applyBorder="1" applyAlignment="1">
      <alignment vertical="center" wrapText="1"/>
    </xf>
    <xf numFmtId="0" fontId="121" fillId="43" borderId="112" xfId="9" applyFont="1" applyFill="1" applyBorder="1" applyAlignment="1">
      <alignment horizontal="center" vertical="center" wrapText="1"/>
    </xf>
    <xf numFmtId="0" fontId="36" fillId="43" borderId="113" xfId="0" applyFont="1" applyFill="1" applyBorder="1" applyAlignment="1">
      <alignment vertical="center"/>
    </xf>
    <xf numFmtId="0" fontId="36" fillId="43" borderId="114" xfId="0" applyFont="1" applyFill="1" applyBorder="1" applyAlignment="1">
      <alignment vertical="center"/>
    </xf>
    <xf numFmtId="0" fontId="121" fillId="45" borderId="91" xfId="9" applyFont="1" applyFill="1" applyBorder="1" applyAlignment="1">
      <alignment horizontal="center" vertical="center" wrapText="1"/>
    </xf>
    <xf numFmtId="0" fontId="121" fillId="45" borderId="92" xfId="9" applyFont="1" applyFill="1" applyBorder="1" applyAlignment="1">
      <alignment horizontal="center" vertical="center" wrapText="1"/>
    </xf>
    <xf numFmtId="0" fontId="116" fillId="61" borderId="108" xfId="11" applyFont="1" applyFill="1" applyBorder="1" applyAlignment="1">
      <alignment vertical="center" wrapText="1"/>
    </xf>
    <xf numFmtId="0" fontId="36" fillId="61" borderId="108" xfId="0" applyFont="1" applyFill="1" applyBorder="1" applyAlignment="1">
      <alignment vertical="center" wrapText="1"/>
    </xf>
    <xf numFmtId="0" fontId="116" fillId="23" borderId="133" xfId="11" applyFont="1" applyFill="1" applyBorder="1" applyAlignment="1">
      <alignment vertical="center" wrapText="1"/>
    </xf>
    <xf numFmtId="0" fontId="116" fillId="23" borderId="132" xfId="11" applyFont="1" applyFill="1" applyBorder="1" applyAlignment="1">
      <alignment vertical="center" wrapText="1"/>
    </xf>
    <xf numFmtId="0" fontId="36" fillId="23" borderId="132" xfId="0" applyFont="1" applyFill="1" applyBorder="1" applyAlignment="1">
      <alignment vertical="center" wrapText="1"/>
    </xf>
    <xf numFmtId="0" fontId="36" fillId="23" borderId="134" xfId="0" applyFont="1" applyFill="1" applyBorder="1" applyAlignment="1">
      <alignment vertical="center" wrapText="1"/>
    </xf>
    <xf numFmtId="0" fontId="121" fillId="45" borderId="112" xfId="9" applyFont="1" applyFill="1" applyBorder="1" applyAlignment="1">
      <alignment horizontal="center" vertical="center" wrapText="1"/>
    </xf>
    <xf numFmtId="0" fontId="36" fillId="45" borderId="113" xfId="0" applyFont="1" applyFill="1" applyBorder="1" applyAlignment="1">
      <alignment vertical="center"/>
    </xf>
    <xf numFmtId="0" fontId="36" fillId="45" borderId="114" xfId="0" applyFont="1" applyFill="1" applyBorder="1" applyAlignment="1">
      <alignment vertical="center"/>
    </xf>
    <xf numFmtId="0" fontId="121" fillId="43" borderId="91" xfId="9" applyFont="1" applyFill="1" applyBorder="1" applyAlignment="1">
      <alignment horizontal="center" vertical="center" wrapText="1"/>
    </xf>
    <xf numFmtId="0" fontId="121" fillId="43" borderId="92" xfId="9" applyFont="1" applyFill="1" applyBorder="1" applyAlignment="1">
      <alignment horizontal="center" vertical="center" wrapText="1"/>
    </xf>
    <xf numFmtId="0" fontId="197" fillId="0" borderId="0" xfId="14" applyFont="1" applyAlignment="1">
      <alignment horizontal="justify" vertical="center"/>
    </xf>
    <xf numFmtId="0" fontId="121" fillId="43" borderId="93" xfId="9" applyFont="1" applyFill="1" applyBorder="1" applyAlignment="1">
      <alignment horizontal="center" vertical="center" wrapText="1"/>
    </xf>
    <xf numFmtId="0" fontId="121" fillId="45" borderId="93" xfId="9" applyFont="1" applyFill="1" applyBorder="1" applyAlignment="1">
      <alignment horizontal="center" vertical="center" wrapText="1"/>
    </xf>
    <xf numFmtId="166" fontId="125" fillId="15" borderId="91" xfId="2" applyNumberFormat="1" applyFont="1" applyFill="1" applyBorder="1" applyAlignment="1">
      <alignment horizontal="center" vertical="center"/>
    </xf>
    <xf numFmtId="166" fontId="125" fillId="15" borderId="200" xfId="2" applyNumberFormat="1" applyFont="1" applyFill="1" applyBorder="1" applyAlignment="1">
      <alignment horizontal="center" vertical="center"/>
    </xf>
    <xf numFmtId="166" fontId="125" fillId="16" borderId="91" xfId="11" applyNumberFormat="1" applyFont="1" applyFill="1" applyBorder="1" applyAlignment="1">
      <alignment horizontal="center" vertical="center" wrapText="1"/>
    </xf>
    <xf numFmtId="166" fontId="125" fillId="16" borderId="200" xfId="11" applyNumberFormat="1" applyFont="1" applyFill="1" applyBorder="1" applyAlignment="1">
      <alignment horizontal="center" vertical="center" wrapText="1"/>
    </xf>
    <xf numFmtId="166" fontId="125" fillId="16" borderId="111" xfId="11" applyNumberFormat="1" applyFont="1" applyFill="1" applyBorder="1" applyAlignment="1">
      <alignment horizontal="center" vertical="center" wrapText="1"/>
    </xf>
    <xf numFmtId="166" fontId="125" fillId="16" borderId="199" xfId="11" applyNumberFormat="1" applyFont="1" applyFill="1" applyBorder="1" applyAlignment="1">
      <alignment horizontal="center" vertical="center" wrapText="1"/>
    </xf>
    <xf numFmtId="0" fontId="121" fillId="62" borderId="93" xfId="9" applyFont="1" applyFill="1" applyBorder="1" applyAlignment="1">
      <alignment horizontal="center" vertical="center" wrapText="1"/>
    </xf>
    <xf numFmtId="0" fontId="121" fillId="62" borderId="92" xfId="9" applyFont="1" applyFill="1" applyBorder="1" applyAlignment="1">
      <alignment horizontal="center" vertical="center" wrapText="1"/>
    </xf>
    <xf numFmtId="166" fontId="125" fillId="16" borderId="108" xfId="11" applyNumberFormat="1" applyFont="1" applyFill="1" applyBorder="1" applyAlignment="1">
      <alignment horizontal="center" vertical="center" wrapText="1"/>
    </xf>
    <xf numFmtId="166" fontId="125" fillId="16" borderId="114" xfId="11" applyNumberFormat="1" applyFont="1" applyFill="1" applyBorder="1" applyAlignment="1">
      <alignment horizontal="center" vertical="center" wrapText="1"/>
    </xf>
    <xf numFmtId="166" fontId="125" fillId="15" borderId="93" xfId="2" applyNumberFormat="1" applyFont="1" applyFill="1" applyBorder="1" applyAlignment="1">
      <alignment horizontal="center" vertical="center"/>
    </xf>
    <xf numFmtId="166" fontId="125" fillId="15" borderId="92" xfId="2" applyNumberFormat="1" applyFont="1" applyFill="1" applyBorder="1" applyAlignment="1">
      <alignment horizontal="center" vertical="center"/>
    </xf>
    <xf numFmtId="166" fontId="125" fillId="16" borderId="93" xfId="11" applyNumberFormat="1" applyFont="1" applyFill="1" applyBorder="1" applyAlignment="1">
      <alignment horizontal="center" vertical="center" wrapText="1"/>
    </xf>
    <xf numFmtId="166" fontId="125" fillId="16" borderId="92" xfId="11" applyNumberFormat="1" applyFont="1" applyFill="1" applyBorder="1" applyAlignment="1">
      <alignment horizontal="center" vertical="center" wrapText="1"/>
    </xf>
    <xf numFmtId="209" fontId="96" fillId="15" borderId="93" xfId="12" applyNumberFormat="1" applyFont="1" applyFill="1" applyBorder="1" applyAlignment="1">
      <alignment horizontal="center" vertical="center" wrapText="1"/>
    </xf>
    <xf numFmtId="209" fontId="96" fillId="15" borderId="92" xfId="12" applyNumberFormat="1" applyFont="1" applyFill="1" applyBorder="1" applyAlignment="1">
      <alignment horizontal="center" vertical="center" wrapText="1"/>
    </xf>
    <xf numFmtId="209" fontId="96" fillId="16" borderId="93" xfId="12" applyNumberFormat="1" applyFont="1" applyFill="1" applyBorder="1" applyAlignment="1">
      <alignment horizontal="center" vertical="center" wrapText="1"/>
    </xf>
    <xf numFmtId="209" fontId="96" fillId="16" borderId="92" xfId="12" applyNumberFormat="1" applyFont="1" applyFill="1" applyBorder="1" applyAlignment="1">
      <alignment horizontal="center" vertical="center" wrapText="1"/>
    </xf>
    <xf numFmtId="0" fontId="121" fillId="62" borderId="91" xfId="9" applyFont="1" applyFill="1" applyBorder="1" applyAlignment="1">
      <alignment horizontal="center" vertical="center" wrapText="1"/>
    </xf>
    <xf numFmtId="0" fontId="121" fillId="62" borderId="111" xfId="9" applyFont="1" applyFill="1" applyBorder="1" applyAlignment="1">
      <alignment horizontal="center" vertical="center" wrapText="1"/>
    </xf>
    <xf numFmtId="0" fontId="121" fillId="62" borderId="108" xfId="9" applyFont="1" applyFill="1" applyBorder="1" applyAlignment="1">
      <alignment horizontal="center" vertical="center" wrapText="1"/>
    </xf>
    <xf numFmtId="0" fontId="121" fillId="62" borderId="114" xfId="9" applyFont="1" applyFill="1" applyBorder="1" applyAlignment="1">
      <alignment horizontal="center" vertical="center" wrapText="1"/>
    </xf>
    <xf numFmtId="0" fontId="121" fillId="62" borderId="198" xfId="9" applyFont="1" applyFill="1" applyBorder="1" applyAlignment="1">
      <alignment horizontal="center" vertical="center" wrapText="1"/>
    </xf>
    <xf numFmtId="0" fontId="121" fillId="62" borderId="0" xfId="9" applyFont="1" applyFill="1" applyBorder="1" applyAlignment="1">
      <alignment horizontal="center" vertical="center" wrapText="1"/>
    </xf>
    <xf numFmtId="0" fontId="121" fillId="62" borderId="113" xfId="9" applyFont="1" applyFill="1" applyBorder="1" applyAlignment="1">
      <alignment horizontal="center" vertical="center" wrapText="1"/>
    </xf>
    <xf numFmtId="0" fontId="116" fillId="61" borderId="91" xfId="11" applyFont="1" applyFill="1" applyBorder="1" applyAlignment="1">
      <alignment horizontal="center" vertical="center" wrapText="1"/>
    </xf>
    <xf numFmtId="0" fontId="116" fillId="61" borderId="93" xfId="11" applyFont="1" applyFill="1" applyBorder="1" applyAlignment="1">
      <alignment horizontal="center" vertical="center" wrapText="1"/>
    </xf>
    <xf numFmtId="0" fontId="116" fillId="61" borderId="92" xfId="11" applyFont="1" applyFill="1" applyBorder="1" applyAlignment="1">
      <alignment horizontal="center" vertical="center" wrapText="1"/>
    </xf>
    <xf numFmtId="0" fontId="82" fillId="0" borderId="0" xfId="14" applyFont="1" applyAlignment="1">
      <alignment horizontal="justify" vertical="center" wrapText="1"/>
    </xf>
    <xf numFmtId="0" fontId="188" fillId="41" borderId="133" xfId="11" applyFont="1" applyFill="1" applyBorder="1" applyAlignment="1">
      <alignment vertical="center" wrapText="1"/>
    </xf>
    <xf numFmtId="0" fontId="188" fillId="41" borderId="132" xfId="11" applyFont="1" applyFill="1" applyBorder="1" applyAlignment="1">
      <alignment vertical="center" wrapText="1"/>
    </xf>
    <xf numFmtId="0" fontId="191" fillId="41" borderId="132" xfId="0" applyFont="1" applyFill="1" applyBorder="1" applyAlignment="1">
      <alignment vertical="center" wrapText="1"/>
    </xf>
    <xf numFmtId="0" fontId="191" fillId="41" borderId="134" xfId="0" applyFont="1" applyFill="1" applyBorder="1" applyAlignment="1">
      <alignment vertical="center" wrapText="1"/>
    </xf>
    <xf numFmtId="0" fontId="188" fillId="23" borderId="133" xfId="11" applyFont="1" applyFill="1" applyBorder="1" applyAlignment="1">
      <alignment vertical="center" wrapText="1"/>
    </xf>
    <xf numFmtId="0" fontId="188" fillId="23" borderId="132" xfId="11" applyFont="1" applyFill="1" applyBorder="1" applyAlignment="1">
      <alignment vertical="center" wrapText="1"/>
    </xf>
    <xf numFmtId="0" fontId="191" fillId="0" borderId="132" xfId="0" applyFont="1" applyBorder="1" applyAlignment="1">
      <alignment vertical="center" wrapText="1"/>
    </xf>
    <xf numFmtId="0" fontId="0" fillId="0" borderId="132" xfId="0" applyBorder="1" applyAlignment="1">
      <alignment vertical="center" wrapText="1"/>
    </xf>
    <xf numFmtId="0" fontId="0" fillId="0" borderId="134" xfId="0" applyBorder="1" applyAlignment="1">
      <alignment vertical="center" wrapText="1"/>
    </xf>
    <xf numFmtId="0" fontId="234" fillId="34" borderId="0" xfId="21" applyFont="1" applyFill="1" applyAlignment="1">
      <alignment horizontal="center"/>
    </xf>
    <xf numFmtId="0" fontId="45" fillId="0" borderId="0" xfId="0" applyFont="1" applyAlignment="1">
      <alignment horizontal="justify" vertical="top" wrapText="1"/>
    </xf>
    <xf numFmtId="0" fontId="116" fillId="55" borderId="108" xfId="11" applyFont="1" applyFill="1" applyBorder="1" applyAlignment="1">
      <alignment vertical="center" wrapText="1"/>
    </xf>
    <xf numFmtId="0" fontId="116" fillId="54" borderId="89" xfId="0" applyFont="1" applyFill="1" applyBorder="1" applyAlignment="1">
      <alignment horizontal="center" vertical="center" wrapText="1"/>
    </xf>
    <xf numFmtId="0" fontId="116" fillId="54" borderId="90" xfId="0" applyFont="1" applyFill="1" applyBorder="1" applyAlignment="1">
      <alignment horizontal="center" vertical="center" wrapText="1"/>
    </xf>
    <xf numFmtId="0" fontId="89" fillId="2" borderId="91" xfId="0" applyFont="1" applyFill="1" applyBorder="1" applyAlignment="1">
      <alignment horizontal="center" vertical="center" wrapText="1"/>
    </xf>
    <xf numFmtId="0" fontId="89" fillId="2" borderId="92" xfId="0" applyFont="1" applyFill="1" applyBorder="1" applyAlignment="1">
      <alignment horizontal="center" vertical="center" wrapText="1"/>
    </xf>
    <xf numFmtId="0" fontId="116" fillId="54" borderId="91" xfId="0" applyFont="1" applyFill="1" applyBorder="1" applyAlignment="1">
      <alignment horizontal="center" vertical="center" wrapText="1"/>
    </xf>
    <xf numFmtId="0" fontId="116" fillId="54" borderId="93" xfId="0" applyFont="1" applyFill="1" applyBorder="1" applyAlignment="1">
      <alignment horizontal="center" vertical="center" wrapText="1"/>
    </xf>
    <xf numFmtId="0" fontId="116" fillId="54" borderId="92" xfId="0" applyFont="1" applyFill="1" applyBorder="1" applyAlignment="1">
      <alignment horizontal="center" vertical="center" wrapText="1"/>
    </xf>
    <xf numFmtId="0" fontId="136" fillId="0" borderId="0" xfId="11" applyFont="1" applyAlignment="1">
      <alignment horizontal="justify" vertical="center" wrapText="1"/>
    </xf>
    <xf numFmtId="0" fontId="116" fillId="54" borderId="91" xfId="11" applyFont="1" applyFill="1" applyBorder="1" applyAlignment="1">
      <alignment horizontal="center" vertical="center" wrapText="1"/>
    </xf>
    <xf numFmtId="0" fontId="116" fillId="54" borderId="93" xfId="11" applyFont="1" applyFill="1" applyBorder="1" applyAlignment="1">
      <alignment horizontal="center" vertical="center" wrapText="1"/>
    </xf>
    <xf numFmtId="0" fontId="116" fillId="54" borderId="92" xfId="11" applyFont="1" applyFill="1" applyBorder="1" applyAlignment="1">
      <alignment horizontal="center" vertical="center" wrapText="1"/>
    </xf>
    <xf numFmtId="0" fontId="116" fillId="54" borderId="89" xfId="11" applyFont="1" applyFill="1" applyBorder="1" applyAlignment="1">
      <alignment horizontal="center" vertical="center" wrapText="1"/>
    </xf>
    <xf numFmtId="0" fontId="116" fillId="54" borderId="90" xfId="11" applyFont="1" applyFill="1" applyBorder="1" applyAlignment="1">
      <alignment horizontal="center" vertical="center" wrapText="1"/>
    </xf>
    <xf numFmtId="0" fontId="136" fillId="0" borderId="109" xfId="11" applyFont="1" applyBorder="1" applyAlignment="1">
      <alignment vertical="center" wrapText="1"/>
    </xf>
    <xf numFmtId="0" fontId="111" fillId="54" borderId="91" xfId="0" applyFont="1" applyFill="1" applyBorder="1" applyAlignment="1">
      <alignment horizontal="center" vertical="center" wrapText="1"/>
    </xf>
    <xf numFmtId="0" fontId="111" fillId="54" borderId="92" xfId="0" applyFont="1" applyFill="1" applyBorder="1" applyAlignment="1">
      <alignment horizontal="center" vertical="center" wrapText="1"/>
    </xf>
    <xf numFmtId="0" fontId="0" fillId="55" borderId="108" xfId="0" applyFill="1" applyBorder="1" applyAlignment="1">
      <alignment vertical="center" wrapText="1"/>
    </xf>
    <xf numFmtId="0" fontId="136" fillId="0" borderId="109" xfId="11" applyFont="1" applyBorder="1" applyAlignment="1">
      <alignment horizontal="left" vertical="center" wrapText="1"/>
    </xf>
    <xf numFmtId="0" fontId="208" fillId="0" borderId="0" xfId="14" applyFont="1" applyBorder="1" applyAlignment="1" applyProtection="1">
      <alignment vertical="center" wrapText="1"/>
      <protection locked="0"/>
    </xf>
    <xf numFmtId="0" fontId="208" fillId="0" borderId="0" xfId="14" applyFont="1" applyBorder="1" applyAlignment="1" applyProtection="1">
      <alignment vertical="center"/>
      <protection locked="0"/>
    </xf>
    <xf numFmtId="0" fontId="116" fillId="55" borderId="170" xfId="11" applyFont="1" applyFill="1" applyBorder="1" applyAlignment="1">
      <alignment vertical="center" wrapText="1"/>
    </xf>
    <xf numFmtId="0" fontId="116" fillId="55" borderId="171" xfId="11" applyFont="1" applyFill="1" applyBorder="1" applyAlignment="1">
      <alignment vertical="center" wrapText="1"/>
    </xf>
    <xf numFmtId="0" fontId="116" fillId="55" borderId="172" xfId="11" applyFont="1" applyFill="1" applyBorder="1" applyAlignment="1">
      <alignment vertical="center" wrapText="1"/>
    </xf>
    <xf numFmtId="0" fontId="116" fillId="55" borderId="108" xfId="11" applyFont="1" applyFill="1" applyBorder="1" applyAlignment="1">
      <alignment horizontal="left" vertical="center" wrapText="1"/>
    </xf>
    <xf numFmtId="0" fontId="92" fillId="0" borderId="0" xfId="0" applyFont="1" applyAlignment="1">
      <alignment horizontal="justify" vertical="center"/>
    </xf>
    <xf numFmtId="0" fontId="91" fillId="0" borderId="0" xfId="0" applyFont="1" applyAlignment="1">
      <alignment horizontal="justify" vertical="center"/>
    </xf>
    <xf numFmtId="0" fontId="116" fillId="54" borderId="110" xfId="11" applyFont="1" applyFill="1" applyBorder="1" applyAlignment="1">
      <alignment horizontal="center" vertical="center" wrapText="1"/>
    </xf>
    <xf numFmtId="0" fontId="116" fillId="54" borderId="111" xfId="11" applyFont="1" applyFill="1" applyBorder="1" applyAlignment="1">
      <alignment horizontal="center" vertical="center" wrapText="1"/>
    </xf>
    <xf numFmtId="0" fontId="207" fillId="0" borderId="0" xfId="8" applyFont="1" applyAlignment="1">
      <alignment vertical="center" wrapText="1"/>
    </xf>
    <xf numFmtId="0" fontId="116" fillId="55" borderId="143" xfId="11" applyFont="1" applyFill="1" applyBorder="1" applyAlignment="1">
      <alignment vertical="center" wrapText="1"/>
    </xf>
    <xf numFmtId="0" fontId="116" fillId="55" borderId="144" xfId="11" applyFont="1" applyFill="1" applyBorder="1" applyAlignment="1">
      <alignment vertical="center" wrapText="1"/>
    </xf>
    <xf numFmtId="0" fontId="116" fillId="55" borderId="145" xfId="11" applyFont="1" applyFill="1" applyBorder="1" applyAlignment="1">
      <alignment vertical="center" wrapText="1"/>
    </xf>
    <xf numFmtId="0" fontId="116" fillId="63" borderId="108" xfId="11" applyFont="1" applyFill="1" applyBorder="1" applyAlignment="1">
      <alignment vertical="center" wrapText="1"/>
    </xf>
    <xf numFmtId="0" fontId="0" fillId="63" borderId="108" xfId="0" applyFill="1" applyBorder="1" applyAlignment="1">
      <alignment vertical="center" wrapText="1"/>
    </xf>
    <xf numFmtId="0" fontId="116" fillId="34" borderId="0" xfId="14" applyFont="1" applyFill="1" applyBorder="1" applyAlignment="1">
      <alignment horizontal="center" vertical="center"/>
    </xf>
    <xf numFmtId="0" fontId="213" fillId="63" borderId="143" xfId="11" applyFont="1" applyFill="1" applyBorder="1" applyAlignment="1">
      <alignment vertical="center" wrapText="1"/>
    </xf>
    <xf numFmtId="0" fontId="212" fillId="63" borderId="144" xfId="14" applyFont="1" applyFill="1" applyBorder="1" applyAlignment="1">
      <alignment vertical="center" wrapText="1"/>
    </xf>
    <xf numFmtId="0" fontId="212" fillId="63" borderId="145" xfId="14" applyFont="1" applyFill="1" applyBorder="1" applyAlignment="1">
      <alignment vertical="center" wrapText="1"/>
    </xf>
    <xf numFmtId="0" fontId="116" fillId="67" borderId="80" xfId="0" applyFont="1" applyFill="1" applyBorder="1" applyAlignment="1">
      <alignment horizontal="center" vertical="center" wrapText="1"/>
    </xf>
    <xf numFmtId="0" fontId="116" fillId="67" borderId="91" xfId="0" applyFont="1" applyFill="1" applyBorder="1" applyAlignment="1">
      <alignment horizontal="center" vertical="center" wrapText="1"/>
    </xf>
    <xf numFmtId="0" fontId="116" fillId="67" borderId="93" xfId="0" applyFont="1" applyFill="1" applyBorder="1" applyAlignment="1">
      <alignment horizontal="center" vertical="center" wrapText="1"/>
    </xf>
    <xf numFmtId="0" fontId="116" fillId="67" borderId="92" xfId="0" applyFont="1" applyFill="1" applyBorder="1" applyAlignment="1">
      <alignment horizontal="center" vertical="center" wrapText="1"/>
    </xf>
    <xf numFmtId="0" fontId="116" fillId="67" borderId="80" xfId="11" applyFont="1" applyFill="1" applyBorder="1" applyAlignment="1">
      <alignment horizontal="center" vertical="center" wrapText="1"/>
    </xf>
    <xf numFmtId="0" fontId="116" fillId="67" borderId="91" xfId="11" applyFont="1" applyFill="1" applyBorder="1" applyAlignment="1">
      <alignment horizontal="center" vertical="center" wrapText="1"/>
    </xf>
    <xf numFmtId="0" fontId="116" fillId="67" borderId="93" xfId="11" applyFont="1" applyFill="1" applyBorder="1" applyAlignment="1">
      <alignment horizontal="center" vertical="center" wrapText="1"/>
    </xf>
    <xf numFmtId="0" fontId="116" fillId="67" borderId="92" xfId="11" applyFont="1" applyFill="1" applyBorder="1" applyAlignment="1">
      <alignment horizontal="center" vertical="center" wrapText="1"/>
    </xf>
    <xf numFmtId="0" fontId="116" fillId="63" borderId="0" xfId="11" applyFont="1" applyFill="1" applyBorder="1" applyAlignment="1">
      <alignment vertical="center" wrapText="1"/>
    </xf>
    <xf numFmtId="0" fontId="0" fillId="63" borderId="0" xfId="0" applyFill="1" applyAlignment="1"/>
    <xf numFmtId="0" fontId="205" fillId="0" borderId="0" xfId="0" applyFont="1" applyAlignment="1">
      <alignment horizontal="center" vertical="center"/>
    </xf>
    <xf numFmtId="0" fontId="206" fillId="22" borderId="91" xfId="0" applyFont="1" applyFill="1" applyBorder="1" applyAlignment="1">
      <alignment horizontal="center" vertical="center" wrapText="1"/>
    </xf>
    <xf numFmtId="0" fontId="206" fillId="22" borderId="92" xfId="0" applyFont="1" applyFill="1" applyBorder="1" applyAlignment="1">
      <alignment horizontal="center" vertical="center" wrapText="1"/>
    </xf>
    <xf numFmtId="0" fontId="116" fillId="63" borderId="108" xfId="11" applyFont="1" applyFill="1" applyBorder="1" applyAlignment="1">
      <alignment horizontal="left" vertical="center" wrapText="1"/>
    </xf>
    <xf numFmtId="0" fontId="206" fillId="22" borderId="89" xfId="0" applyFont="1" applyFill="1" applyBorder="1" applyAlignment="1">
      <alignment horizontal="center" vertical="center" wrapText="1"/>
    </xf>
    <xf numFmtId="0" fontId="206" fillId="22" borderId="90" xfId="0" applyFont="1" applyFill="1" applyBorder="1" applyAlignment="1">
      <alignment horizontal="center" vertical="center" wrapText="1"/>
    </xf>
    <xf numFmtId="0" fontId="111" fillId="67" borderId="91" xfId="0" applyFont="1" applyFill="1" applyBorder="1" applyAlignment="1">
      <alignment horizontal="center" vertical="center" wrapText="1"/>
    </xf>
    <xf numFmtId="0" fontId="111" fillId="67" borderId="92" xfId="0" applyFont="1" applyFill="1" applyBorder="1" applyAlignment="1">
      <alignment horizontal="center" vertical="center" wrapText="1"/>
    </xf>
    <xf numFmtId="0" fontId="116" fillId="67" borderId="89" xfId="11" applyFont="1" applyFill="1" applyBorder="1" applyAlignment="1">
      <alignment horizontal="center" vertical="center" wrapText="1"/>
    </xf>
    <xf numFmtId="0" fontId="116" fillId="67" borderId="90" xfId="11" applyFont="1" applyFill="1" applyBorder="1" applyAlignment="1">
      <alignment horizontal="center" vertical="center" wrapText="1"/>
    </xf>
    <xf numFmtId="0" fontId="116" fillId="32" borderId="108" xfId="11" applyFont="1" applyFill="1" applyBorder="1" applyAlignment="1">
      <alignment vertical="center" wrapText="1"/>
    </xf>
    <xf numFmtId="0" fontId="101" fillId="7" borderId="80" xfId="0" applyFont="1" applyFill="1" applyBorder="1" applyAlignment="1">
      <alignment horizontal="center" vertical="center" wrapText="1"/>
    </xf>
    <xf numFmtId="0" fontId="48" fillId="7" borderId="94" xfId="0" applyFont="1" applyFill="1" applyBorder="1" applyAlignment="1">
      <alignment horizontal="center" vertical="center" wrapText="1"/>
    </xf>
    <xf numFmtId="0" fontId="48" fillId="7" borderId="95" xfId="0" applyFont="1" applyFill="1" applyBorder="1" applyAlignment="1">
      <alignment horizontal="center" vertical="center" wrapText="1"/>
    </xf>
    <xf numFmtId="0" fontId="48" fillId="7" borderId="9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top"/>
    </xf>
    <xf numFmtId="0" fontId="49" fillId="7" borderId="42" xfId="0" applyFont="1" applyFill="1" applyBorder="1" applyAlignment="1">
      <alignment horizontal="center" vertical="center" wrapText="1"/>
    </xf>
    <xf numFmtId="0" fontId="49" fillId="7" borderId="9" xfId="0" applyFont="1" applyFill="1" applyBorder="1" applyAlignment="1">
      <alignment horizontal="center" vertical="center" wrapText="1"/>
    </xf>
    <xf numFmtId="0" fontId="49" fillId="7" borderId="51" xfId="0" applyFont="1" applyFill="1" applyBorder="1" applyAlignment="1">
      <alignment horizontal="center" vertical="center" wrapText="1"/>
    </xf>
    <xf numFmtId="0" fontId="49" fillId="7" borderId="15" xfId="0" applyFont="1" applyFill="1" applyBorder="1" applyAlignment="1">
      <alignment horizontal="center" vertical="center" wrapText="1"/>
    </xf>
    <xf numFmtId="0" fontId="49" fillId="7" borderId="52" xfId="0" applyFont="1" applyFill="1" applyBorder="1" applyAlignment="1">
      <alignment horizontal="center" vertical="center" wrapText="1"/>
    </xf>
    <xf numFmtId="0" fontId="49" fillId="7" borderId="16" xfId="0" applyFont="1" applyFill="1" applyBorder="1" applyAlignment="1">
      <alignment horizontal="center" vertical="center" wrapText="1"/>
    </xf>
    <xf numFmtId="0" fontId="49" fillId="7" borderId="53" xfId="0" applyFont="1" applyFill="1" applyBorder="1" applyAlignment="1">
      <alignment horizontal="center" vertical="center" wrapText="1"/>
    </xf>
    <xf numFmtId="0" fontId="49" fillId="7" borderId="55" xfId="0" applyFont="1" applyFill="1" applyBorder="1" applyAlignment="1">
      <alignment horizontal="center" vertical="center" wrapText="1"/>
    </xf>
    <xf numFmtId="0" fontId="49" fillId="7" borderId="50" xfId="0" applyFont="1" applyFill="1" applyBorder="1" applyAlignment="1">
      <alignment horizontal="center" vertical="center" wrapText="1"/>
    </xf>
    <xf numFmtId="0" fontId="49" fillId="7" borderId="14" xfId="0" applyFont="1" applyFill="1" applyBorder="1" applyAlignment="1">
      <alignment horizontal="center" vertical="center" wrapText="1"/>
    </xf>
    <xf numFmtId="0" fontId="116" fillId="63" borderId="170" xfId="11" applyFont="1" applyFill="1" applyBorder="1" applyAlignment="1">
      <alignment vertical="center" wrapText="1"/>
    </xf>
    <xf numFmtId="0" fontId="69" fillId="63" borderId="171" xfId="0" applyFont="1" applyFill="1" applyBorder="1" applyAlignment="1">
      <alignment vertical="center" wrapText="1"/>
    </xf>
    <xf numFmtId="0" fontId="69" fillId="63" borderId="172" xfId="0" applyFont="1" applyFill="1" applyBorder="1" applyAlignment="1">
      <alignment vertical="center" wrapText="1"/>
    </xf>
    <xf numFmtId="0" fontId="69" fillId="63" borderId="180" xfId="0" applyFont="1" applyFill="1" applyBorder="1" applyAlignment="1">
      <alignment vertical="center" wrapText="1"/>
    </xf>
    <xf numFmtId="0" fontId="69" fillId="63" borderId="108" xfId="0" applyFont="1" applyFill="1" applyBorder="1" applyAlignment="1">
      <alignment vertical="center" wrapText="1"/>
    </xf>
    <xf numFmtId="0" fontId="69" fillId="63" borderId="181" xfId="0" applyFont="1" applyFill="1" applyBorder="1" applyAlignment="1">
      <alignment vertical="center" wrapText="1"/>
    </xf>
    <xf numFmtId="0" fontId="74" fillId="4" borderId="89" xfId="0" applyFont="1" applyFill="1" applyBorder="1" applyAlignment="1">
      <alignment horizontal="left" vertical="center" wrapText="1"/>
    </xf>
    <xf numFmtId="0" fontId="74" fillId="4" borderId="90" xfId="0" applyFont="1" applyFill="1" applyBorder="1" applyAlignment="1">
      <alignment horizontal="left" vertical="center" wrapText="1"/>
    </xf>
    <xf numFmtId="0" fontId="74" fillId="4" borderId="91" xfId="0" applyFont="1" applyFill="1" applyBorder="1" applyAlignment="1">
      <alignment horizontal="center" vertical="center" wrapText="1"/>
    </xf>
    <xf numFmtId="0" fontId="74" fillId="4" borderId="92" xfId="0" applyFont="1" applyFill="1" applyBorder="1" applyAlignment="1">
      <alignment horizontal="center" vertical="center" wrapText="1"/>
    </xf>
    <xf numFmtId="0" fontId="74" fillId="4" borderId="80" xfId="0" applyFont="1" applyFill="1" applyBorder="1" applyAlignment="1">
      <alignment horizontal="center" vertical="center" wrapText="1"/>
    </xf>
    <xf numFmtId="0" fontId="71" fillId="4" borderId="80" xfId="0" applyFont="1" applyFill="1" applyBorder="1" applyAlignment="1">
      <alignment horizontal="center" vertical="center" wrapText="1"/>
    </xf>
    <xf numFmtId="0" fontId="116" fillId="17" borderId="0" xfId="11" applyFont="1" applyFill="1" applyBorder="1" applyAlignment="1">
      <alignment vertical="center" wrapText="1"/>
    </xf>
    <xf numFmtId="0" fontId="0" fillId="0" borderId="0" xfId="0" applyBorder="1" applyAlignment="1"/>
    <xf numFmtId="0" fontId="116" fillId="17" borderId="165" xfId="1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6" xfId="0" applyBorder="1" applyAlignment="1">
      <alignment vertical="center" wrapText="1"/>
    </xf>
    <xf numFmtId="0" fontId="8" fillId="0" borderId="0" xfId="22" applyFont="1" applyAlignment="1">
      <alignment horizontal="center"/>
    </xf>
    <xf numFmtId="0" fontId="164" fillId="47" borderId="146" xfId="22" applyFont="1" applyFill="1" applyBorder="1" applyAlignment="1">
      <alignment horizontal="center" vertical="center" wrapText="1"/>
    </xf>
    <xf numFmtId="0" fontId="164" fillId="47" borderId="149" xfId="22" applyFont="1" applyFill="1" applyBorder="1" applyAlignment="1">
      <alignment horizontal="center" vertical="center" wrapText="1"/>
    </xf>
    <xf numFmtId="0" fontId="164" fillId="47" borderId="152" xfId="22" applyFont="1" applyFill="1" applyBorder="1" applyAlignment="1">
      <alignment horizontal="center" vertical="center" wrapText="1"/>
    </xf>
    <xf numFmtId="0" fontId="164" fillId="47" borderId="147" xfId="22" applyFont="1" applyFill="1" applyBorder="1" applyAlignment="1">
      <alignment horizontal="center"/>
    </xf>
    <xf numFmtId="0" fontId="164" fillId="47" borderId="148" xfId="22" applyFont="1" applyFill="1" applyBorder="1" applyAlignment="1">
      <alignment horizontal="center"/>
    </xf>
    <xf numFmtId="0" fontId="165" fillId="47" borderId="150" xfId="22" applyFont="1" applyFill="1" applyBorder="1" applyAlignment="1">
      <alignment horizontal="center" wrapText="1"/>
    </xf>
    <xf numFmtId="0" fontId="165" fillId="47" borderId="151" xfId="22" applyFont="1" applyFill="1" applyBorder="1" applyAlignment="1">
      <alignment horizontal="center" wrapText="1"/>
    </xf>
    <xf numFmtId="0" fontId="161" fillId="0" borderId="0" xfId="14" applyFont="1" applyAlignment="1">
      <alignment horizontal="center"/>
    </xf>
    <xf numFmtId="0" fontId="3" fillId="0" borderId="0" xfId="14" applyAlignment="1">
      <alignment horizontal="center"/>
    </xf>
    <xf numFmtId="0" fontId="72" fillId="0" borderId="0" xfId="0" applyFont="1" applyAlignment="1">
      <alignment horizontal="justify" vertical="center"/>
    </xf>
    <xf numFmtId="0" fontId="74" fillId="4" borderId="80" xfId="11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165" fontId="72" fillId="0" borderId="0" xfId="2" applyNumberFormat="1" applyFont="1" applyFill="1" applyBorder="1" applyAlignment="1">
      <alignment horizontal="left" vertical="top"/>
    </xf>
    <xf numFmtId="165" fontId="85" fillId="0" borderId="0" xfId="2" applyNumberFormat="1" applyFont="1" applyFill="1" applyBorder="1" applyAlignment="1">
      <alignment horizontal="left" vertical="top"/>
    </xf>
    <xf numFmtId="165" fontId="74" fillId="14" borderId="91" xfId="2" applyNumberFormat="1" applyFont="1" applyFill="1" applyBorder="1" applyAlignment="1">
      <alignment horizontal="center" vertical="center"/>
    </xf>
    <xf numFmtId="165" fontId="74" fillId="14" borderId="93" xfId="2" applyNumberFormat="1" applyFont="1" applyFill="1" applyBorder="1" applyAlignment="1">
      <alignment horizontal="center" vertical="center"/>
    </xf>
    <xf numFmtId="165" fontId="74" fillId="14" borderId="92" xfId="2" applyNumberFormat="1" applyFont="1" applyFill="1" applyBorder="1" applyAlignment="1">
      <alignment horizontal="center" vertical="center"/>
    </xf>
    <xf numFmtId="0" fontId="72" fillId="0" borderId="0" xfId="0" applyFont="1" applyAlignment="1">
      <alignment vertical="center" wrapText="1"/>
    </xf>
    <xf numFmtId="0" fontId="96" fillId="0" borderId="0" xfId="0" applyFont="1" applyAlignment="1">
      <alignment vertical="center"/>
    </xf>
    <xf numFmtId="0" fontId="58" fillId="0" borderId="0" xfId="0" applyFont="1" applyAlignment="1">
      <alignment horizontal="left" vertical="top"/>
    </xf>
    <xf numFmtId="0" fontId="58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96" fillId="36" borderId="117" xfId="14" applyFont="1" applyFill="1" applyBorder="1" applyAlignment="1">
      <alignment horizontal="left" vertical="center"/>
    </xf>
    <xf numFmtId="0" fontId="96" fillId="36" borderId="118" xfId="14" applyFont="1" applyFill="1" applyBorder="1" applyAlignment="1">
      <alignment horizontal="left" vertical="center"/>
    </xf>
    <xf numFmtId="0" fontId="69" fillId="33" borderId="119" xfId="14" applyFont="1" applyFill="1" applyBorder="1" applyAlignment="1">
      <alignment horizontal="center" vertical="center"/>
    </xf>
    <xf numFmtId="0" fontId="69" fillId="33" borderId="120" xfId="14" applyFont="1" applyFill="1" applyBorder="1" applyAlignment="1">
      <alignment horizontal="center" vertical="center"/>
    </xf>
    <xf numFmtId="9" fontId="69" fillId="37" borderId="116" xfId="10" applyFont="1" applyFill="1" applyBorder="1" applyAlignment="1">
      <alignment horizontal="center" vertical="center"/>
    </xf>
    <xf numFmtId="0" fontId="96" fillId="36" borderId="117" xfId="14" applyFont="1" applyFill="1" applyBorder="1" applyAlignment="1">
      <alignment horizontal="center" vertical="center"/>
    </xf>
    <xf numFmtId="0" fontId="96" fillId="36" borderId="118" xfId="14" applyFont="1" applyFill="1" applyBorder="1" applyAlignment="1">
      <alignment horizontal="center" vertical="center"/>
    </xf>
    <xf numFmtId="0" fontId="153" fillId="3" borderId="0" xfId="14" applyFont="1" applyFill="1" applyAlignment="1">
      <alignment horizontal="center"/>
    </xf>
    <xf numFmtId="0" fontId="155" fillId="3" borderId="0" xfId="14" applyFont="1" applyFill="1" applyAlignment="1">
      <alignment horizontal="center"/>
    </xf>
    <xf numFmtId="0" fontId="96" fillId="35" borderId="117" xfId="14" applyFont="1" applyFill="1" applyBorder="1" applyAlignment="1">
      <alignment horizontal="center" vertical="center"/>
    </xf>
    <xf numFmtId="0" fontId="96" fillId="35" borderId="118" xfId="14" applyFont="1" applyFill="1" applyBorder="1" applyAlignment="1">
      <alignment horizontal="center" vertical="center"/>
    </xf>
    <xf numFmtId="0" fontId="116" fillId="25" borderId="157" xfId="11" applyFont="1" applyFill="1" applyBorder="1" applyAlignment="1">
      <alignment vertical="center" wrapText="1"/>
    </xf>
    <xf numFmtId="0" fontId="116" fillId="25" borderId="158" xfId="11" applyFont="1" applyFill="1" applyBorder="1" applyAlignment="1">
      <alignment vertical="center" wrapText="1"/>
    </xf>
    <xf numFmtId="0" fontId="116" fillId="25" borderId="159" xfId="11" applyFont="1" applyFill="1" applyBorder="1" applyAlignment="1">
      <alignment vertical="center" wrapText="1"/>
    </xf>
    <xf numFmtId="0" fontId="116" fillId="25" borderId="140" xfId="11" applyFont="1" applyFill="1" applyBorder="1" applyAlignment="1">
      <alignment vertical="center" wrapText="1"/>
    </xf>
    <xf numFmtId="0" fontId="116" fillId="25" borderId="141" xfId="11" applyFont="1" applyFill="1" applyBorder="1" applyAlignment="1">
      <alignment vertical="center" wrapText="1"/>
    </xf>
    <xf numFmtId="0" fontId="116" fillId="25" borderId="142" xfId="11" applyFont="1" applyFill="1" applyBorder="1" applyAlignment="1">
      <alignment vertical="center" wrapText="1"/>
    </xf>
    <xf numFmtId="0" fontId="83" fillId="34" borderId="0" xfId="11" applyFont="1" applyFill="1" applyBorder="1" applyAlignment="1">
      <alignment vertical="center" wrapText="1"/>
    </xf>
    <xf numFmtId="0" fontId="116" fillId="34" borderId="0" xfId="11" applyFont="1" applyFill="1" applyBorder="1" applyAlignment="1">
      <alignment vertical="center" wrapText="1"/>
    </xf>
    <xf numFmtId="0" fontId="69" fillId="0" borderId="0" xfId="8" applyFont="1" applyBorder="1"/>
    <xf numFmtId="0" fontId="72" fillId="0" borderId="0" xfId="8" applyFont="1" applyBorder="1"/>
    <xf numFmtId="0" fontId="79" fillId="0" borderId="0" xfId="8" applyFont="1" applyBorder="1" applyAlignment="1">
      <alignment horizontal="left" wrapText="1"/>
    </xf>
    <xf numFmtId="0" fontId="224" fillId="0" borderId="0" xfId="8" applyFont="1" applyFill="1" applyBorder="1" applyAlignment="1">
      <alignment horizontal="center"/>
    </xf>
  </cellXfs>
  <cellStyles count="35">
    <cellStyle name="Estilo 1" xfId="15"/>
    <cellStyle name="Euro" xfId="1"/>
    <cellStyle name="Millares" xfId="2" builtinId="3"/>
    <cellStyle name="Millares 2" xfId="16"/>
    <cellStyle name="Millares 3" xfId="12"/>
    <cellStyle name="Millares 4" xfId="17"/>
    <cellStyle name="Millares 5" xfId="18"/>
    <cellStyle name="Millares 6" xfId="19"/>
    <cellStyle name="Millares 7" xfId="33"/>
    <cellStyle name="Millares_grafica al" xfId="27"/>
    <cellStyle name="Millares_METAS DE TRATAMIENTO 2001-2008 (jun 05)" xfId="3"/>
    <cellStyle name="Millares_situacion subsector 2003" xfId="28"/>
    <cellStyle name="Normal" xfId="0" builtinId="0"/>
    <cellStyle name="Normal 2" xfId="4"/>
    <cellStyle name="Normal 2 2" xfId="14"/>
    <cellStyle name="Normal 2 3" xfId="34"/>
    <cellStyle name="Normal 3" xfId="11"/>
    <cellStyle name="Normal 4" xfId="20"/>
    <cellStyle name="Normal 5" xfId="21"/>
    <cellStyle name="Normal 6" xfId="22"/>
    <cellStyle name="Normal_00-06 obras" xfId="5"/>
    <cellStyle name="Normal_cierre PTO 2002 inf subsector" xfId="6"/>
    <cellStyle name="Normal_CONAPO_95" xfId="23"/>
    <cellStyle name="Normal_cuadro 3 12" xfId="7"/>
    <cellStyle name="Normal_estados" xfId="29"/>
    <cellStyle name="Normal_graficas coberturas AP ALC 2005" xfId="8"/>
    <cellStyle name="Normal_Libro1" xfId="9"/>
    <cellStyle name="Normal_m2ital" xfId="30"/>
    <cellStyle name="Porcentual" xfId="10" builtinId="5"/>
    <cellStyle name="Porcentual 2" xfId="24"/>
    <cellStyle name="Porcentual 2 2" xfId="25"/>
    <cellStyle name="Porcentual 2 3" xfId="31"/>
    <cellStyle name="Porcentual 3" xfId="13"/>
    <cellStyle name="Porcentual 4" xfId="26"/>
    <cellStyle name="Porcentual 5" xfId="32"/>
  </cellStyles>
  <dxfs count="121">
    <dxf>
      <font>
        <strike val="0"/>
        <outline val="0"/>
        <shadow val="0"/>
        <u val="none"/>
        <vertAlign val="baseline"/>
        <sz val="10"/>
        <color theme="0"/>
        <name val="Presidencia Fina"/>
        <scheme val="none"/>
      </font>
      <numFmt numFmtId="202" formatCode="#\ ##0"/>
      <fill>
        <patternFill patternType="none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Presidencia Fina"/>
        <scheme val="none"/>
      </font>
      <numFmt numFmtId="202" formatCode="#\ ##0"/>
      <fill>
        <patternFill patternType="none">
          <fgColor indexed="64"/>
          <bgColor theme="0"/>
        </patternFill>
      </fill>
      <border diagonalUp="0" diagonalDown="0" outline="0">
        <left style="thin">
          <color indexed="1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Presidencia Fina"/>
        <scheme val="none"/>
      </font>
      <fill>
        <patternFill patternType="none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12"/>
        </right>
        <top/>
        <bottom/>
      </border>
    </dxf>
    <dxf>
      <border diagonalUp="0" diagonalDown="0">
        <left style="medium">
          <color indexed="12"/>
        </left>
        <right style="medium">
          <color indexed="12"/>
        </right>
        <top style="medium">
          <color indexed="12"/>
        </top>
        <bottom style="medium">
          <color indexed="12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Presidencia Fina"/>
        <scheme val="none"/>
      </font>
      <fill>
        <patternFill patternType="none">
          <fgColor indexed="64"/>
          <bgColor theme="0"/>
        </patternFill>
      </fill>
      <alignment textRotation="0" indent="0" relativeIndent="255" justifyLastLine="0" shrinkToFit="0" mergeCell="0" readingOrder="0"/>
      <border diagonalUp="0" diagonalDown="0" outline="0"/>
    </dxf>
    <dxf>
      <border>
        <bottom style="medium">
          <color indexed="1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Presidencia Fina"/>
        <scheme val="none"/>
      </font>
      <fill>
        <patternFill patternType="none">
          <fgColor indexed="64"/>
          <bgColor theme="0"/>
        </patternFill>
      </fill>
      <alignment horizontal="center" textRotation="0" wrapText="0" indent="0" relativeIndent="255" justifyLastLine="0" shrinkToFit="0" mergeCell="0" readingOrder="0"/>
      <border diagonalUp="0" diagonalDown="0" outline="0">
        <left style="thin">
          <color indexed="12"/>
        </left>
        <right style="thin">
          <color indexed="1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0"/>
        <name val="Presidencia Fina"/>
        <scheme val="none"/>
      </font>
      <numFmt numFmtId="196" formatCode="#\ ###\ ###\ ##0.0\ \ 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0"/>
        <name val="Presidencia Fi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indent="0" relativeIndent="255" justifyLastLine="0" shrinkToFit="0" mergeCell="0" readingOrder="0"/>
    </dxf>
    <dxf>
      <border diagonalUp="0" diagonalDown="0">
        <left style="medium">
          <color indexed="12"/>
        </left>
        <right style="medium">
          <color indexed="12"/>
        </right>
        <top style="medium">
          <color indexed="12"/>
        </top>
        <bottom style="medium">
          <color indexed="12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Presidencia Fi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indent="0" relativeIndent="255" justifyLastLine="0" shrinkToFit="0" mergeCell="0" readingOrder="0"/>
      <border diagonalUp="0" diagonalDown="0">
        <left style="thin">
          <color indexed="12"/>
        </left>
        <right style="thin">
          <color indexed="12"/>
        </right>
        <top/>
        <bottom/>
      </border>
    </dxf>
    <dxf>
      <border>
        <bottom style="medium">
          <color indexed="12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Presidencia Fi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12"/>
        </left>
        <right style="thin">
          <color indexed="12"/>
        </right>
        <top/>
        <bottom/>
      </border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lor rgb="FFCC0000"/>
      </font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DC63D"/>
      <color rgb="FFFFCC66"/>
      <color rgb="FFCBA977"/>
      <color rgb="FF006600"/>
      <color rgb="FFFAC090"/>
      <color rgb="FF663300"/>
      <color rgb="FFDFCF95"/>
      <color rgb="FFE7DBAF"/>
      <color rgb="FFE3D5A1"/>
      <color rgb="FFD8C57E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externalLink" Target="externalLinks/externalLink4.xml"/><Relationship Id="rId84" Type="http://schemas.microsoft.com/office/2006/relationships/attachedToolbars" Target="attachedToolbars.bin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2.xml"/><Relationship Id="rId79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1.xml"/><Relationship Id="rId78" Type="http://schemas.openxmlformats.org/officeDocument/2006/relationships/externalLink" Target="externalLinks/externalLink6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3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8.2513959191633027E-2"/>
          <c:y val="7.6474909272849015E-2"/>
          <c:w val="0.89357641385516851"/>
          <c:h val="0.77838205404013694"/>
        </c:manualLayout>
      </c:layout>
      <c:barChart>
        <c:barDir val="col"/>
        <c:grouping val="stacked"/>
        <c:ser>
          <c:idx val="1"/>
          <c:order val="0"/>
          <c:tx>
            <c:strRef>
              <c:f>'g 1.1'!$D$2</c:f>
              <c:strCache>
                <c:ptCount val="1"/>
                <c:pt idx="0">
                  <c:v>FEDERAL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noFill/>
              <a:prstDash val="solid"/>
            </a:ln>
            <a:scene3d>
              <a:camera prst="orthographicFront"/>
              <a:lightRig rig="threePt" dir="t">
                <a:rot lat="0" lon="0" rev="3000000"/>
              </a:lightRig>
            </a:scene3d>
            <a:sp3d/>
          </c:spPr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/>
                </a:pPr>
                <a:endParaRPr lang="es-MX"/>
              </a:p>
            </c:txPr>
            <c:showVal val="1"/>
          </c:dLbls>
          <c:cat>
            <c:numRef>
              <c:f>'g 1.1'!$C$3:$C$10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'g 1.1'!$D$3:$D$10</c:f>
              <c:numCache>
                <c:formatCode>#,##0.000\ \ \ \ </c:formatCode>
                <c:ptCount val="8"/>
                <c:pt idx="0">
                  <c:v>2293</c:v>
                </c:pt>
                <c:pt idx="1">
                  <c:v>4237.6822999400001</c:v>
                </c:pt>
                <c:pt idx="2">
                  <c:v>4071.4475795640005</c:v>
                </c:pt>
                <c:pt idx="3">
                  <c:v>7085.2770266450079</c:v>
                </c:pt>
                <c:pt idx="4">
                  <c:v>5771.3962180547605</c:v>
                </c:pt>
                <c:pt idx="5">
                  <c:v>9432.6144038057009</c:v>
                </c:pt>
                <c:pt idx="6">
                  <c:v>12318.741223349318</c:v>
                </c:pt>
                <c:pt idx="7">
                  <c:v>14815.279643046</c:v>
                </c:pt>
              </c:numCache>
            </c:numRef>
          </c:val>
        </c:ser>
        <c:ser>
          <c:idx val="2"/>
          <c:order val="1"/>
          <c:tx>
            <c:strRef>
              <c:f>'g 1.1'!$E$2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FF9900"/>
            </a:solidFill>
            <a:ln w="12700">
              <a:noFill/>
              <a:prstDash val="solid"/>
            </a:ln>
            <a:scene3d>
              <a:camera prst="orthographicFront"/>
              <a:lightRig rig="threePt" dir="t">
                <a:rot lat="0" lon="0" rev="4200000"/>
              </a:lightRig>
            </a:scene3d>
            <a:sp3d prstMaterial="matte"/>
          </c:spPr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/>
                </a:pPr>
                <a:endParaRPr lang="es-MX"/>
              </a:p>
            </c:txPr>
            <c:showVal val="1"/>
          </c:dLbls>
          <c:cat>
            <c:numRef>
              <c:f>'g 1.1'!$C$3:$C$10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'g 1.1'!$E$3:$E$10</c:f>
              <c:numCache>
                <c:formatCode>#,##0.000\ \ \ \ </c:formatCode>
                <c:ptCount val="8"/>
                <c:pt idx="0">
                  <c:v>1146</c:v>
                </c:pt>
                <c:pt idx="1">
                  <c:v>2147.5491737686311</c:v>
                </c:pt>
                <c:pt idx="2">
                  <c:v>3035.4075303776663</c:v>
                </c:pt>
                <c:pt idx="3">
                  <c:v>4988.4086592830499</c:v>
                </c:pt>
                <c:pt idx="4">
                  <c:v>2699.2173367951941</c:v>
                </c:pt>
                <c:pt idx="5">
                  <c:v>4140.4379262282173</c:v>
                </c:pt>
                <c:pt idx="6">
                  <c:v>6279.1612472628185</c:v>
                </c:pt>
                <c:pt idx="7">
                  <c:v>5596.2922273299355</c:v>
                </c:pt>
              </c:numCache>
            </c:numRef>
          </c:val>
        </c:ser>
        <c:ser>
          <c:idx val="3"/>
          <c:order val="2"/>
          <c:tx>
            <c:strRef>
              <c:f>'g 1.1'!$F$2</c:f>
              <c:strCache>
                <c:ptCount val="1"/>
                <c:pt idx="0">
                  <c:v>MUNICIPAL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  <a:scene3d>
              <a:camera prst="orthographicFront"/>
              <a:lightRig rig="threePt" dir="t">
                <a:rot lat="0" lon="0" rev="3000000"/>
              </a:lightRig>
            </a:scene3d>
            <a:sp3d/>
          </c:spPr>
          <c:dLbls>
            <c:dLbl>
              <c:idx val="0"/>
              <c:layout>
                <c:manualLayout>
                  <c:x val="5.2697435887414934E-3"/>
                  <c:y val="-3.1979104613294652E-2"/>
                </c:manualLayout>
              </c:layout>
              <c:dLblPos val="ct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/>
                </a:pPr>
                <a:endParaRPr lang="es-MX"/>
              </a:p>
            </c:txPr>
            <c:showVal val="1"/>
          </c:dLbls>
          <c:cat>
            <c:numRef>
              <c:f>'g 1.1'!$C$3:$C$10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'g 1.1'!$F$3:$F$10</c:f>
              <c:numCache>
                <c:formatCode>#,##0.000\ \ \ \ </c:formatCode>
                <c:ptCount val="8"/>
                <c:pt idx="0">
                  <c:v>695</c:v>
                </c:pt>
                <c:pt idx="1">
                  <c:v>1926.7617790868337</c:v>
                </c:pt>
                <c:pt idx="2">
                  <c:v>1386.462534168094</c:v>
                </c:pt>
                <c:pt idx="3">
                  <c:v>2917.7999596649224</c:v>
                </c:pt>
                <c:pt idx="4">
                  <c:v>2817.3939391910171</c:v>
                </c:pt>
                <c:pt idx="5">
                  <c:v>2714.1753860010426</c:v>
                </c:pt>
                <c:pt idx="6">
                  <c:v>3237.167335840531</c:v>
                </c:pt>
                <c:pt idx="7">
                  <c:v>3642.5786518454997</c:v>
                </c:pt>
              </c:numCache>
            </c:numRef>
          </c:val>
        </c:ser>
        <c:ser>
          <c:idx val="4"/>
          <c:order val="3"/>
          <c:tx>
            <c:strRef>
              <c:f>'g 1.1'!$G$2</c:f>
              <c:strCache>
                <c:ptCount val="1"/>
                <c:pt idx="0">
                  <c:v>OTROS a/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scene3d>
              <a:camera prst="orthographicFront"/>
              <a:lightRig rig="threePt" dir="t">
                <a:rot lat="0" lon="0" rev="3000000"/>
              </a:lightRig>
            </a:scene3d>
            <a:sp3d/>
          </c:spPr>
          <c:dLbls>
            <c:numFmt formatCode="#,##0.0" sourceLinked="0"/>
            <c:txPr>
              <a:bodyPr/>
              <a:lstStyle/>
              <a:p>
                <a:pPr algn="ctr">
                  <a:defRPr/>
                </a:pPr>
                <a:endParaRPr lang="es-MX"/>
              </a:p>
            </c:txPr>
            <c:showVal val="1"/>
          </c:dLbls>
          <c:cat>
            <c:numRef>
              <c:f>'g 1.1'!$C$3:$C$10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'g 1.1'!$G$3:$G$10</c:f>
              <c:numCache>
                <c:formatCode>#,##0.000\ \ \ \ </c:formatCode>
                <c:ptCount val="8"/>
                <c:pt idx="0">
                  <c:v>6285</c:v>
                </c:pt>
                <c:pt idx="1">
                  <c:v>4121.4896577</c:v>
                </c:pt>
                <c:pt idx="2">
                  <c:v>4996.0458591836723</c:v>
                </c:pt>
                <c:pt idx="3">
                  <c:v>6615.8627616949598</c:v>
                </c:pt>
                <c:pt idx="4">
                  <c:v>4440.5147086100005</c:v>
                </c:pt>
                <c:pt idx="5">
                  <c:v>5230.1596738640355</c:v>
                </c:pt>
                <c:pt idx="6">
                  <c:v>4484.7309449354952</c:v>
                </c:pt>
                <c:pt idx="7">
                  <c:v>6192.8062995294667</c:v>
                </c:pt>
              </c:numCache>
            </c:numRef>
          </c:val>
        </c:ser>
        <c:overlap val="100"/>
        <c:axId val="63764352"/>
        <c:axId val="63397888"/>
      </c:barChart>
      <c:lineChart>
        <c:grouping val="standard"/>
        <c:ser>
          <c:idx val="0"/>
          <c:order val="4"/>
          <c:tx>
            <c:strRef>
              <c:f>'g 1.1'!$H$2</c:f>
              <c:strCache>
                <c:ptCount val="1"/>
                <c:pt idx="0">
                  <c:v>TOTALES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numFmt formatCode="#,##0.0" sourceLinked="0"/>
            <c:txPr>
              <a:bodyPr/>
              <a:lstStyle/>
              <a:p>
                <a:pPr>
                  <a:defRPr>
                    <a:latin typeface="Presidencia Firme" pitchFamily="50" charset="0"/>
                  </a:defRPr>
                </a:pPr>
                <a:endParaRPr lang="es-MX"/>
              </a:p>
            </c:txPr>
            <c:dLblPos val="t"/>
            <c:showVal val="1"/>
          </c:dLbls>
          <c:val>
            <c:numRef>
              <c:f>'g 1.1'!$H$3:$H$10</c:f>
              <c:numCache>
                <c:formatCode>#,##0.000\ \ \ \ </c:formatCode>
                <c:ptCount val="8"/>
                <c:pt idx="0">
                  <c:v>10419</c:v>
                </c:pt>
                <c:pt idx="1">
                  <c:v>12433.482910495464</c:v>
                </c:pt>
                <c:pt idx="2">
                  <c:v>13489.363503293433</c:v>
                </c:pt>
                <c:pt idx="3">
                  <c:v>21607.34840728794</c:v>
                </c:pt>
                <c:pt idx="4">
                  <c:v>15728.522202650973</c:v>
                </c:pt>
                <c:pt idx="5">
                  <c:v>21517.387389898999</c:v>
                </c:pt>
                <c:pt idx="6">
                  <c:v>26319.80075138816</c:v>
                </c:pt>
                <c:pt idx="7">
                  <c:v>30246.9568217509</c:v>
                </c:pt>
              </c:numCache>
            </c:numRef>
          </c:val>
        </c:ser>
        <c:marker val="1"/>
        <c:axId val="63764352"/>
        <c:axId val="63397888"/>
      </c:lineChart>
      <c:catAx>
        <c:axId val="63764352"/>
        <c:scaling>
          <c:orientation val="minMax"/>
        </c:scaling>
        <c:axPos val="b"/>
        <c:title>
          <c:tx>
            <c:rich>
              <a:bodyPr anchor="b" anchorCtr="0"/>
              <a:lstStyle/>
              <a:p>
                <a:pPr>
                  <a:defRPr/>
                </a:pPr>
                <a:r>
                  <a:t>Año</a:t>
                </a:r>
              </a:p>
            </c:rich>
          </c:tx>
          <c:layout>
            <c:manualLayout>
              <c:xMode val="edge"/>
              <c:yMode val="edge"/>
              <c:x val="6.0632232502544008E-2"/>
              <c:y val="0.87796193922293753"/>
            </c:manualLayout>
          </c:layout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63397888"/>
        <c:crosses val="autoZero"/>
        <c:auto val="1"/>
        <c:lblAlgn val="ctr"/>
        <c:lblOffset val="100"/>
        <c:tickLblSkip val="1"/>
        <c:tickMarkSkip val="1"/>
      </c:catAx>
      <c:valAx>
        <c:axId val="63397888"/>
        <c:scaling>
          <c:orientation val="minMax"/>
          <c:max val="35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600">
                    <a:solidFill>
                      <a:srgbClr val="663300"/>
                    </a:solidFill>
                  </a:defRPr>
                </a:pPr>
                <a:r>
                  <a:rPr lang="es-MX" sz="1600">
                    <a:solidFill>
                      <a:srgbClr val="663300"/>
                    </a:solidFill>
                  </a:rPr>
                  <a:t>Miles de millones de pesos</a:t>
                </a:r>
              </a:p>
            </c:rich>
          </c:tx>
          <c:layout>
            <c:manualLayout>
              <c:xMode val="edge"/>
              <c:yMode val="edge"/>
              <c:x val="2.0287442559912452E-2"/>
              <c:y val="0.2851162742242150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MX"/>
          </a:p>
        </c:txPr>
        <c:crossAx val="63764352"/>
        <c:crosses val="autoZero"/>
        <c:crossBetween val="between"/>
        <c:majorUnit val="5000"/>
        <c:minorUnit val="50"/>
        <c:dispUnits>
          <c:builtInUnit val="thousands"/>
        </c:dispUnits>
      </c:valAx>
      <c:spPr>
        <a:noFill/>
        <a:ln w="25400">
          <a:solidFill>
            <a:srgbClr val="000000"/>
          </a:solidFill>
        </a:ln>
        <a:effectLst/>
        <a:scene3d>
          <a:camera prst="orthographicFront"/>
          <a:lightRig rig="threePt" dir="t"/>
        </a:scene3d>
        <a:sp3d/>
      </c:spPr>
    </c:plotArea>
    <c:legend>
      <c:legendPos val="r"/>
      <c:layout>
        <c:manualLayout>
          <c:xMode val="edge"/>
          <c:yMode val="edge"/>
          <c:x val="0.13380568530628584"/>
          <c:y val="0.92637829290287765"/>
          <c:w val="0.76510165042931666"/>
          <c:h val="5.6766928269644724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legend>
    <c:plotVisOnly val="1"/>
    <c:dispBlanksAs val="zero"/>
  </c:chart>
  <c:spPr>
    <a:noFill/>
    <a:ln w="28575" cap="sq">
      <a:noFill/>
      <a:bevel/>
    </a:ln>
  </c:spPr>
  <c:txPr>
    <a:bodyPr/>
    <a:lstStyle/>
    <a:p>
      <a:pPr algn="ctr">
        <a:defRPr lang="es-MX" sz="1400" b="0" i="0" u="none" strike="noStrike" kern="1200" baseline="0">
          <a:solidFill>
            <a:sysClr val="windowText" lastClr="000000"/>
          </a:solidFill>
          <a:latin typeface="Presidencia Firme" pitchFamily="50" charset="0"/>
          <a:ea typeface="Arial"/>
          <a:cs typeface="Arial"/>
        </a:defRPr>
      </a:pPr>
      <a:endParaRPr lang="es-MX"/>
    </a:p>
  </c:txPr>
  <c:printSettings>
    <c:headerFooter alignWithMargins="0"/>
    <c:pageMargins b="0.59055118110232585" l="0.39370078740157488" r="0.39370078740157488" t="0.59055118110232585" header="0" footer="0"/>
    <c:pageSetup paperSize="11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12943094546663694"/>
          <c:y val="5.9034607429039827E-2"/>
          <c:w val="0.84388056786320476"/>
          <c:h val="0.78578667732759488"/>
        </c:manualLayout>
      </c:layout>
      <c:barChart>
        <c:barDir val="col"/>
        <c:grouping val="clustered"/>
        <c:ser>
          <c:idx val="2"/>
          <c:order val="0"/>
          <c:tx>
            <c:strRef>
              <c:f>'g2.5 g2.6'!$D$4:$D$5</c:f>
              <c:strCache>
                <c:ptCount val="1"/>
                <c:pt idx="0">
                  <c:v>Nacional Avances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/>
          </c:spPr>
          <c:dLbls>
            <c:dLbl>
              <c:idx val="0"/>
              <c:layout>
                <c:manualLayout>
                  <c:x val="0"/>
                  <c:y val="0.11347517730496448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0.12765957446807827"/>
                </c:manualLayout>
              </c:layout>
              <c:showVal val="1"/>
            </c:dLbl>
            <c:dLbl>
              <c:idx val="2"/>
              <c:layout>
                <c:manualLayout>
                  <c:x val="-2.1645025334053611E-3"/>
                  <c:y val="0.10301692420897719"/>
                </c:manualLayout>
              </c:layout>
              <c:showVal val="1"/>
            </c:dLbl>
            <c:txPr>
              <a:bodyPr rot="-5400000" vert="horz"/>
              <a:lstStyle/>
              <a:p>
                <a:pPr algn="ctr" rtl="0">
                  <a:defRPr sz="1000" b="0">
                    <a:solidFill>
                      <a:sysClr val="windowText" lastClr="000000"/>
                    </a:solidFill>
                    <a:latin typeface="Presidencia Firme" pitchFamily="50" charset="0"/>
                  </a:defRPr>
                </a:pPr>
                <a:endParaRPr lang="es-MX"/>
              </a:p>
            </c:txPr>
            <c:showVal val="1"/>
          </c:dLbls>
          <c:cat>
            <c:numRef>
              <c:f>'g2.5 g2.6'!$B$6:$B$11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'g2.5 g2.6'!$D$6:$D$11</c:f>
              <c:numCache>
                <c:formatCode>0.0</c:formatCode>
                <c:ptCount val="6"/>
                <c:pt idx="0">
                  <c:v>89.9</c:v>
                </c:pt>
                <c:pt idx="1">
                  <c:v>90.269943374932637</c:v>
                </c:pt>
                <c:pt idx="2">
                  <c:v>90.650013813043159</c:v>
                </c:pt>
                <c:pt idx="3" formatCode="&quot;-&quot;">
                  <c:v>0</c:v>
                </c:pt>
                <c:pt idx="4" formatCode="&quot;-&quot;">
                  <c:v>0</c:v>
                </c:pt>
                <c:pt idx="5" formatCode="&quot;-&quot;">
                  <c:v>0</c:v>
                </c:pt>
              </c:numCache>
            </c:numRef>
          </c:val>
        </c:ser>
        <c:ser>
          <c:idx val="4"/>
          <c:order val="1"/>
          <c:tx>
            <c:strRef>
              <c:f>'g2.5 g2.6'!$F$4:$F$5</c:f>
              <c:strCache>
                <c:ptCount val="1"/>
                <c:pt idx="0">
                  <c:v>Zonas urbanas Avances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 prstMaterial="plastic">
              <a:bevelT w="0"/>
            </a:sp3d>
          </c:spPr>
          <c:dLbls>
            <c:dLbl>
              <c:idx val="0"/>
              <c:layout>
                <c:manualLayout>
                  <c:x val="-2.1646729666757012E-3"/>
                  <c:y val="-9.5495877584838726E-2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-2.1645025334053611E-3"/>
                  <c:y val="-0.10240948358276385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-4.3290050668106953E-3"/>
                  <c:y val="-0.11184694628403249"/>
                </c:manualLayout>
              </c:layout>
              <c:dLblPos val="ctr"/>
              <c:showVal val="1"/>
            </c:dLbl>
            <c:txPr>
              <a:bodyPr rot="-5400000" vert="horz"/>
              <a:lstStyle/>
              <a:p>
                <a:pPr algn="ctr">
                  <a:defRPr sz="1000" b="0">
                    <a:solidFill>
                      <a:sysClr val="windowText" lastClr="000000"/>
                    </a:solidFill>
                    <a:latin typeface="Presidencia Firme" pitchFamily="50" charset="0"/>
                  </a:defRPr>
                </a:pPr>
                <a:endParaRPr lang="es-MX"/>
              </a:p>
            </c:txPr>
            <c:dLblPos val="ctr"/>
            <c:showVal val="1"/>
          </c:dLbls>
          <c:cat>
            <c:numRef>
              <c:f>'g2.5 g2.6'!$B$6:$B$11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'g2.5 g2.6'!$F$6:$F$11</c:f>
              <c:numCache>
                <c:formatCode>0.0</c:formatCode>
                <c:ptCount val="6"/>
                <c:pt idx="0">
                  <c:v>94.5</c:v>
                </c:pt>
                <c:pt idx="1">
                  <c:v>94.349203982430609</c:v>
                </c:pt>
                <c:pt idx="2">
                  <c:v>94.279017050035648</c:v>
                </c:pt>
                <c:pt idx="3" formatCode="&quot;-&quot;">
                  <c:v>0</c:v>
                </c:pt>
                <c:pt idx="4" formatCode="&quot;-&quot;">
                  <c:v>0</c:v>
                </c:pt>
                <c:pt idx="5" formatCode="&quot;-&quot;">
                  <c:v>0</c:v>
                </c:pt>
              </c:numCache>
            </c:numRef>
          </c:val>
        </c:ser>
        <c:ser>
          <c:idx val="0"/>
          <c:order val="2"/>
          <c:tx>
            <c:strRef>
              <c:f>'g2.5 g2.6'!$H$4:$H$5</c:f>
              <c:strCache>
                <c:ptCount val="1"/>
                <c:pt idx="0">
                  <c:v>Zonas rurales Avances</c:v>
                </c:pt>
              </c:strCache>
            </c:strRef>
          </c:tx>
          <c:spPr>
            <a:solidFill>
              <a:srgbClr val="BB464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/>
            </a:sp3d>
          </c:spPr>
          <c:dLbls>
            <c:dLbl>
              <c:idx val="0"/>
              <c:layout>
                <c:manualLayout>
                  <c:x val="-7.7634058975706534E-3"/>
                  <c:y val="-2.005689686140226E-2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0"/>
                  <c:y val="-1.9858156028369003E-2"/>
                </c:manualLayout>
              </c:layout>
              <c:dLblPos val="ctr"/>
              <c:showVal val="1"/>
            </c:dLbl>
            <c:txPr>
              <a:bodyPr rot="-5400000" vert="horz"/>
              <a:lstStyle/>
              <a:p>
                <a:pPr>
                  <a:defRPr sz="1000" b="0">
                    <a:solidFill>
                      <a:schemeClr val="bg1"/>
                    </a:solidFill>
                    <a:latin typeface="Presidencia Firme" pitchFamily="50" charset="0"/>
                  </a:defRPr>
                </a:pPr>
                <a:endParaRPr lang="es-MX"/>
              </a:p>
            </c:txPr>
            <c:dLblPos val="ctr"/>
            <c:showVal val="1"/>
          </c:dLbls>
          <c:cat>
            <c:numRef>
              <c:f>'g2.5 g2.6'!$B$6:$B$11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'g2.5 g2.6'!$H$6:$H$11</c:f>
              <c:numCache>
                <c:formatCode>0.0</c:formatCode>
                <c:ptCount val="6"/>
                <c:pt idx="0">
                  <c:v>74.7</c:v>
                </c:pt>
                <c:pt idx="1">
                  <c:v>76.830043377037143</c:v>
                </c:pt>
                <c:pt idx="2">
                  <c:v>78.550251181081805</c:v>
                </c:pt>
                <c:pt idx="3" formatCode="&quot;-&quot;">
                  <c:v>0</c:v>
                </c:pt>
                <c:pt idx="4" formatCode="&quot;-&quot;">
                  <c:v>0</c:v>
                </c:pt>
                <c:pt idx="5" formatCode="&quot;-&quot;">
                  <c:v>0</c:v>
                </c:pt>
              </c:numCache>
            </c:numRef>
          </c:val>
        </c:ser>
        <c:gapWidth val="115"/>
        <c:overlap val="-2"/>
        <c:axId val="89543040"/>
        <c:axId val="89524864"/>
      </c:barChart>
      <c:lineChart>
        <c:grouping val="standard"/>
        <c:ser>
          <c:idx val="1"/>
          <c:order val="3"/>
          <c:tx>
            <c:strRef>
              <c:f>'g2.5 g2.6'!$C$4:$C$5</c:f>
              <c:strCache>
                <c:ptCount val="1"/>
                <c:pt idx="0">
                  <c:v>Nacional Metas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dash"/>
            <c:size val="17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marker>
          <c:dLbls>
            <c:dLbl>
              <c:idx val="0"/>
              <c:layout>
                <c:manualLayout>
                  <c:x val="2.2054771897219252E-3"/>
                  <c:y val="3.4042553191489362E-2"/>
                </c:manualLayout>
              </c:layout>
              <c:dLblPos val="t"/>
              <c:showVal val="1"/>
            </c:dLbl>
            <c:dLbl>
              <c:idx val="1"/>
              <c:layout>
                <c:manualLayout>
                  <c:x val="-4.1075710211411504E-3"/>
                  <c:y val="2.5531914893617051E-2"/>
                </c:manualLayout>
              </c:layout>
              <c:dLblPos val="t"/>
              <c:showVal val="1"/>
            </c:dLbl>
            <c:dLbl>
              <c:idx val="2"/>
              <c:layout>
                <c:manualLayout>
                  <c:x val="0"/>
                  <c:y val="3.1205673758866175E-2"/>
                </c:manualLayout>
              </c:layout>
              <c:dLblPos val="t"/>
              <c:showVal val="1"/>
            </c:dLbl>
            <c:dLbl>
              <c:idx val="3"/>
              <c:layout>
                <c:manualLayout>
                  <c:x val="8.0866562779048216E-17"/>
                  <c:y val="3.4042553191489362E-2"/>
                </c:manualLayout>
              </c:layout>
              <c:dLblPos val="t"/>
              <c:showVal val="1"/>
            </c:dLbl>
            <c:dLbl>
              <c:idx val="4"/>
              <c:layout>
                <c:manualLayout>
                  <c:x val="0"/>
                  <c:y val="2.8368794326241127E-2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3.0338335830270121E-4"/>
                  <c:y val="2.5531914893617051E-2"/>
                </c:manualLayout>
              </c:layout>
              <c:spPr>
                <a:noFill/>
              </c:spPr>
              <c:txPr>
                <a:bodyPr/>
                <a:lstStyle/>
                <a:p>
                  <a:pPr algn="ctr">
                    <a:defRPr lang="es-MX" sz="1000" b="0" i="0" u="none" strike="noStrike" kern="1200" baseline="0">
                      <a:solidFill>
                        <a:sysClr val="windowText" lastClr="000000"/>
                      </a:solidFill>
                      <a:latin typeface="Presidencia Firme" pitchFamily="50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Val val="1"/>
            </c:dLbl>
            <c:txPr>
              <a:bodyPr/>
              <a:lstStyle/>
              <a:p>
                <a:pPr algn="ctr">
                  <a:defRPr lang="es-MX" sz="1000" b="0" i="0" u="none" strike="noStrike" kern="1200" baseline="0">
                    <a:solidFill>
                      <a:sysClr val="windowText" lastClr="000000"/>
                    </a:solidFill>
                    <a:latin typeface="Presidencia Firme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Val val="1"/>
          </c:dLbls>
          <c:cat>
            <c:numRef>
              <c:f>'g2.5 g2.6'!$B$6:$B$11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'g2.5 g2.6'!$C$6:$C$11</c:f>
              <c:numCache>
                <c:formatCode>0.0</c:formatCode>
                <c:ptCount val="6"/>
                <c:pt idx="0">
                  <c:v>89.890971379950784</c:v>
                </c:pt>
                <c:pt idx="1">
                  <c:v>90.197184373215961</c:v>
                </c:pt>
                <c:pt idx="2">
                  <c:v>90.70052863176717</c:v>
                </c:pt>
                <c:pt idx="3">
                  <c:v>91.098297527858406</c:v>
                </c:pt>
                <c:pt idx="4">
                  <c:v>91.569615957319357</c:v>
                </c:pt>
                <c:pt idx="5">
                  <c:v>91.952272596602413</c:v>
                </c:pt>
              </c:numCache>
            </c:numRef>
          </c:val>
        </c:ser>
        <c:ser>
          <c:idx val="3"/>
          <c:order val="4"/>
          <c:tx>
            <c:strRef>
              <c:f>'g2.5 g2.6'!$E$4:$E$5</c:f>
              <c:strCache>
                <c:ptCount val="1"/>
                <c:pt idx="0">
                  <c:v>Zonas urbanas Metas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7"/>
            <c:spPr>
              <a:solidFill>
                <a:srgbClr val="FFCC00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 prstMaterial="matte"/>
            </c:spPr>
          </c:marker>
          <c:dLbls>
            <c:dLbl>
              <c:idx val="0"/>
              <c:layout>
                <c:manualLayout>
                  <c:x val="0"/>
                  <c:y val="2.8368570949907777E-2"/>
                </c:manualLayout>
              </c:layout>
              <c:dLblPos val="t"/>
              <c:showVal val="1"/>
            </c:dLbl>
            <c:dLbl>
              <c:idx val="1"/>
              <c:layout>
                <c:manualLayout>
                  <c:x val="4.4109543794438408E-3"/>
                  <c:y val="3.1205450382531981E-2"/>
                </c:manualLayout>
              </c:layout>
              <c:dLblPos val="t"/>
              <c:showVal val="1"/>
            </c:dLbl>
            <c:dLbl>
              <c:idx val="2"/>
              <c:layout>
                <c:manualLayout>
                  <c:x val="2.2054771897219252E-3"/>
                  <c:y val="3.1205673758866175E-2"/>
                </c:manualLayout>
              </c:layout>
              <c:dLblPos val="t"/>
              <c:showVal val="1"/>
            </c:dLbl>
            <c:dLbl>
              <c:idx val="3"/>
              <c:layout>
                <c:manualLayout>
                  <c:x val="2.2054771897220015E-3"/>
                  <c:y val="3.4042553191489362E-2"/>
                </c:manualLayout>
              </c:layout>
              <c:dLblPos val="t"/>
              <c:showVal val="1"/>
            </c:dLbl>
            <c:dLbl>
              <c:idx val="4"/>
              <c:layout>
                <c:manualLayout>
                  <c:x val="6.6164315691657465E-3"/>
                  <c:y val="2.8368794326241127E-2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2.2054771897219252E-3"/>
                  <c:y val="3.1205673758866175E-2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Presidencia Firme" pitchFamily="50" charset="0"/>
                  </a:defRPr>
                </a:pPr>
                <a:endParaRPr lang="es-MX"/>
              </a:p>
            </c:txPr>
            <c:dLblPos val="t"/>
            <c:showVal val="1"/>
          </c:dLbls>
          <c:cat>
            <c:numRef>
              <c:f>'g2.5 g2.6'!$B$6:$B$11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'g2.5 g2.6'!$E$6:$E$11</c:f>
              <c:numCache>
                <c:formatCode>0.0</c:formatCode>
                <c:ptCount val="6"/>
                <c:pt idx="0">
                  <c:v>95</c:v>
                </c:pt>
                <c:pt idx="1">
                  <c:v>95.181818181818173</c:v>
                </c:pt>
                <c:pt idx="2">
                  <c:v>95.36363636363636</c:v>
                </c:pt>
                <c:pt idx="3">
                  <c:v>95.545454545454547</c:v>
                </c:pt>
                <c:pt idx="4">
                  <c:v>95.827272727272728</c:v>
                </c:pt>
                <c:pt idx="5">
                  <c:v>96</c:v>
                </c:pt>
              </c:numCache>
            </c:numRef>
          </c:val>
        </c:ser>
        <c:ser>
          <c:idx val="5"/>
          <c:order val="5"/>
          <c:tx>
            <c:strRef>
              <c:f>'g2.5 g2.6'!$G$4:$G$5</c:f>
              <c:strCache>
                <c:ptCount val="1"/>
                <c:pt idx="0">
                  <c:v>Zonas rurales Metas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7"/>
            <c:spPr>
              <a:solidFill>
                <a:srgbClr val="FF0000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 prstMaterial="matte"/>
            </c:spPr>
          </c:marker>
          <c:dLbls>
            <c:dLbl>
              <c:idx val="0"/>
              <c:layout>
                <c:manualLayout>
                  <c:x val="-7.7974925516400024E-3"/>
                  <c:y val="2.3653102964778412E-2"/>
                </c:manualLayout>
              </c:layout>
              <c:dLblPos val="t"/>
              <c:showVal val="1"/>
            </c:dLbl>
            <c:dLbl>
              <c:idx val="1"/>
              <c:layout>
                <c:manualLayout>
                  <c:x val="-4.8621203364557245E-3"/>
                  <c:y val="3.0391499075860556E-2"/>
                </c:manualLayout>
              </c:layout>
              <c:dLblPos val="t"/>
              <c:showVal val="1"/>
            </c:dLbl>
            <c:dLbl>
              <c:idx val="2"/>
              <c:layout>
                <c:manualLayout>
                  <c:x val="-4.3290050668106953E-3"/>
                  <c:y val="2.5957715550456856E-2"/>
                </c:manualLayout>
              </c:layout>
              <c:dLblPos val="t"/>
              <c:showVal val="1"/>
            </c:dLbl>
            <c:dLbl>
              <c:idx val="3"/>
              <c:layout>
                <c:manualLayout>
                  <c:x val="4.0903984883252086E-5"/>
                  <c:y val="3.1631410312122243E-2"/>
                </c:manualLayout>
              </c:layout>
              <c:dLblPos val="t"/>
              <c:showVal val="1"/>
            </c:dLbl>
            <c:dLbl>
              <c:idx val="4"/>
              <c:layout>
                <c:manualLayout>
                  <c:x val="2.2054771897219252E-3"/>
                  <c:y val="2.5531914893617051E-2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0"/>
                  <c:y val="2.2695035460994068E-2"/>
                </c:manualLayout>
              </c:layout>
              <c:dLblPos val="t"/>
              <c:showVal val="1"/>
            </c:dLbl>
            <c:txPr>
              <a:bodyPr rot="0" vert="horz"/>
              <a:lstStyle/>
              <a:p>
                <a:pPr algn="ctr">
                  <a:defRPr lang="es-MX" sz="1000" b="0" i="0" u="none" strike="noStrike" kern="1200" baseline="0">
                    <a:solidFill>
                      <a:schemeClr val="tx1"/>
                    </a:solidFill>
                    <a:latin typeface="Presidencia Firme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Val val="1"/>
          </c:dLbls>
          <c:cat>
            <c:numRef>
              <c:f>'g2.5 g2.6'!$B$6:$B$11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'g2.5 g2.6'!$G$6:$G$11</c:f>
              <c:numCache>
                <c:formatCode>0.0</c:formatCode>
                <c:ptCount val="6"/>
                <c:pt idx="0">
                  <c:v>73.254786465257084</c:v>
                </c:pt>
                <c:pt idx="1">
                  <c:v>74.203829172205673</c:v>
                </c:pt>
                <c:pt idx="2">
                  <c:v>75.152871879154262</c:v>
                </c:pt>
                <c:pt idx="3">
                  <c:v>76.101914586102851</c:v>
                </c:pt>
                <c:pt idx="4">
                  <c:v>77.050957293051439</c:v>
                </c:pt>
                <c:pt idx="5">
                  <c:v>78</c:v>
                </c:pt>
              </c:numCache>
            </c:numRef>
          </c:val>
        </c:ser>
        <c:marker val="1"/>
        <c:axId val="89522560"/>
        <c:axId val="89523328"/>
      </c:lineChart>
      <c:catAx>
        <c:axId val="895225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00" b="0">
                <a:solidFill>
                  <a:sysClr val="windowText" lastClr="000000"/>
                </a:solidFill>
                <a:latin typeface="Presidencia Base" pitchFamily="50" charset="0"/>
              </a:defRPr>
            </a:pPr>
            <a:endParaRPr lang="es-MX"/>
          </a:p>
        </c:txPr>
        <c:crossAx val="89523328"/>
        <c:crosses val="autoZero"/>
        <c:auto val="1"/>
        <c:lblAlgn val="ctr"/>
        <c:lblOffset val="100"/>
      </c:catAx>
      <c:valAx>
        <c:axId val="89523328"/>
        <c:scaling>
          <c:orientation val="minMax"/>
          <c:max val="100"/>
          <c:min val="6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1000" b="0">
                <a:solidFill>
                  <a:sysClr val="windowText" lastClr="000000"/>
                </a:solidFill>
                <a:latin typeface="Presidencia Base" pitchFamily="50" charset="0"/>
              </a:defRPr>
            </a:pPr>
            <a:endParaRPr lang="es-MX"/>
          </a:p>
        </c:txPr>
        <c:crossAx val="89522560"/>
        <c:crosses val="autoZero"/>
        <c:crossBetween val="between"/>
        <c:majorUnit val="10"/>
      </c:valAx>
      <c:valAx>
        <c:axId val="89524864"/>
        <c:scaling>
          <c:orientation val="minMax"/>
          <c:max val="100"/>
          <c:min val="60"/>
        </c:scaling>
        <c:axPos val="r"/>
        <c:numFmt formatCode="0.0" sourceLinked="1"/>
        <c:majorTickMark val="none"/>
        <c:tickLblPos val="none"/>
        <c:spPr>
          <a:ln>
            <a:solidFill>
              <a:srgbClr val="4F81BD">
                <a:lumMod val="50000"/>
              </a:srgbClr>
            </a:solidFill>
          </a:ln>
        </c:spPr>
        <c:crossAx val="89543040"/>
        <c:crosses val="max"/>
        <c:crossBetween val="between"/>
        <c:majorUnit val="20"/>
      </c:valAx>
      <c:catAx>
        <c:axId val="89543040"/>
        <c:scaling>
          <c:orientation val="minMax"/>
        </c:scaling>
        <c:delete val="1"/>
        <c:axPos val="b"/>
        <c:numFmt formatCode="General" sourceLinked="1"/>
        <c:tickLblPos val="none"/>
        <c:crossAx val="89524864"/>
        <c:crosses val="autoZero"/>
        <c:auto val="1"/>
        <c:lblAlgn val="ctr"/>
        <c:lblOffset val="100"/>
      </c:catAx>
      <c:spPr>
        <a:noFill/>
        <a:ln cmpd="sng">
          <a:solidFill>
            <a:schemeClr val="accent1">
              <a:lumMod val="50000"/>
            </a:schemeClr>
          </a:solidFill>
          <a:miter lim="800000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>
                <a:solidFill>
                  <a:schemeClr val="tx1"/>
                </a:solidFill>
                <a:latin typeface="Presidencia Base" pitchFamily="50" charset="0"/>
              </a:defRPr>
            </a:pPr>
            <a:endParaRPr lang="es-MX"/>
          </a:p>
        </c:txPr>
      </c:legendEntry>
      <c:legendEntry>
        <c:idx val="1"/>
        <c:txPr>
          <a:bodyPr/>
          <a:lstStyle/>
          <a:p>
            <a:pPr>
              <a:defRPr sz="1000" b="0">
                <a:solidFill>
                  <a:schemeClr val="tx1"/>
                </a:solidFill>
                <a:latin typeface="Presidencia Base" pitchFamily="50" charset="0"/>
              </a:defRPr>
            </a:pPr>
            <a:endParaRPr lang="es-MX"/>
          </a:p>
        </c:txPr>
      </c:legendEntry>
      <c:legendEntry>
        <c:idx val="2"/>
        <c:txPr>
          <a:bodyPr/>
          <a:lstStyle/>
          <a:p>
            <a:pPr>
              <a:defRPr sz="1000" b="0">
                <a:solidFill>
                  <a:schemeClr val="tx1"/>
                </a:solidFill>
                <a:latin typeface="Presidencia Base" pitchFamily="50" charset="0"/>
              </a:defRPr>
            </a:pPr>
            <a:endParaRPr lang="es-MX"/>
          </a:p>
        </c:txPr>
      </c:legendEntry>
      <c:legendEntry>
        <c:idx val="3"/>
        <c:txPr>
          <a:bodyPr/>
          <a:lstStyle/>
          <a:p>
            <a:pPr>
              <a:defRPr sz="1000" b="0">
                <a:solidFill>
                  <a:schemeClr val="tx1"/>
                </a:solidFill>
                <a:latin typeface="Presidencia Base" pitchFamily="50" charset="0"/>
              </a:defRPr>
            </a:pPr>
            <a:endParaRPr lang="es-MX"/>
          </a:p>
        </c:txPr>
      </c:legendEntry>
      <c:legendEntry>
        <c:idx val="4"/>
        <c:txPr>
          <a:bodyPr/>
          <a:lstStyle/>
          <a:p>
            <a:pPr>
              <a:defRPr sz="1000" b="0">
                <a:solidFill>
                  <a:schemeClr val="tx1"/>
                </a:solidFill>
                <a:latin typeface="Presidencia Base" pitchFamily="50" charset="0"/>
              </a:defRPr>
            </a:pPr>
            <a:endParaRPr lang="es-MX"/>
          </a:p>
        </c:txPr>
      </c:legendEntry>
      <c:legendEntry>
        <c:idx val="5"/>
        <c:txPr>
          <a:bodyPr/>
          <a:lstStyle/>
          <a:p>
            <a:pPr>
              <a:defRPr sz="1000" b="0">
                <a:solidFill>
                  <a:schemeClr val="tx1"/>
                </a:solidFill>
                <a:latin typeface="Presidencia Base" pitchFamily="50" charset="0"/>
              </a:defRPr>
            </a:pPr>
            <a:endParaRPr lang="es-MX"/>
          </a:p>
        </c:txPr>
      </c:legendEntry>
      <c:layout>
        <c:manualLayout>
          <c:xMode val="edge"/>
          <c:yMode val="edge"/>
          <c:x val="1.7695453035528091E-2"/>
          <c:y val="0.93074038085664756"/>
          <c:w val="0.9611220624272"/>
          <c:h val="6.9259619143351811E-2"/>
        </c:manualLayout>
      </c:layout>
      <c:txPr>
        <a:bodyPr/>
        <a:lstStyle/>
        <a:p>
          <a:pPr>
            <a:defRPr sz="1000" b="0">
              <a:solidFill>
                <a:schemeClr val="tx1"/>
              </a:solidFill>
              <a:latin typeface="Presidencia Base" pitchFamily="50" charset="0"/>
            </a:defRPr>
          </a:pPr>
          <a:endParaRPr lang="es-MX"/>
        </a:p>
      </c:txPr>
    </c:legend>
    <c:plotVisOnly val="1"/>
    <c:dispBlanksAs val="zero"/>
  </c:chart>
  <c:spPr>
    <a:noFill/>
    <a:ln w="12700" cmpd="sng">
      <a:noFill/>
      <a:miter lim="800000"/>
    </a:ln>
  </c:spPr>
  <c:txPr>
    <a:bodyPr/>
    <a:lstStyle/>
    <a:p>
      <a:pPr>
        <a:defRPr>
          <a:latin typeface="Presidencia Fina" pitchFamily="50" charset="0"/>
        </a:defRPr>
      </a:pPr>
      <a:endParaRPr lang="es-MX"/>
    </a:p>
  </c:txPr>
  <c:printSettings>
    <c:headerFooter/>
    <c:pageMargins b="0.74803149606299646" l="0.70866141732283972" r="0.70866141732283972" t="0.74803149606299646" header="0.31496062992126395" footer="0.31496062992126395"/>
    <c:pageSetup paperSize="11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10330488716843357"/>
          <c:y val="8.8240890418500001E-2"/>
          <c:w val="0.86794718397630466"/>
          <c:h val="0.75658062609723442"/>
        </c:manualLayout>
      </c:layout>
      <c:lineChart>
        <c:grouping val="stacked"/>
        <c:ser>
          <c:idx val="2"/>
          <c:order val="0"/>
          <c:tx>
            <c:strRef>
              <c:f>'g2.5 g2.6'!$W$6</c:f>
              <c:strCache>
                <c:ptCount val="1"/>
                <c:pt idx="0">
                  <c:v>2007</c:v>
                </c:pt>
              </c:strCache>
            </c:strRef>
          </c:tx>
          <c:spPr>
            <a:ln w="28575">
              <a:noFill/>
            </a:ln>
          </c:spPr>
          <c:cat>
            <c:strRef>
              <c:f>'g2.5 g2.6'!$X$5:$AE$5</c:f>
              <c:strCache>
                <c:ptCount val="7"/>
                <c:pt idx="0">
                  <c:v>Metas</c:v>
                </c:pt>
                <c:pt idx="2">
                  <c:v>Avances</c:v>
                </c:pt>
                <c:pt idx="4">
                  <c:v>Caudal Colectado</c:v>
                </c:pt>
                <c:pt idx="6">
                  <c:v>Caudal Tratado</c:v>
                </c:pt>
              </c:strCache>
            </c:strRef>
          </c:cat>
          <c:val>
            <c:numRef>
              <c:f>'g2.5 g2.6'!$X$6:$AE$6</c:f>
              <c:numCache>
                <c:formatCode>0.0</c:formatCode>
                <c:ptCount val="8"/>
                <c:pt idx="0">
                  <c:v>38.5</c:v>
                </c:pt>
                <c:pt idx="2">
                  <c:v>38.299999999999997</c:v>
                </c:pt>
                <c:pt idx="4">
                  <c:v>207</c:v>
                </c:pt>
                <c:pt idx="6">
                  <c:v>79.3</c:v>
                </c:pt>
              </c:numCache>
            </c:numRef>
          </c:val>
        </c:ser>
        <c:ser>
          <c:idx val="1"/>
          <c:order val="1"/>
          <c:tx>
            <c:strRef>
              <c:f>'g2.5 g2.6'!$W$7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7"/>
            <c:spPr>
              <a:solidFill>
                <a:srgbClr val="660033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 prstMaterial="matte"/>
            </c:spPr>
          </c:marker>
          <c:dLbls>
            <c:dLbl>
              <c:idx val="0"/>
              <c:layout>
                <c:manualLayout>
                  <c:x val="-3.6036036036036041E-3"/>
                  <c:y val="2.783658665183409E-2"/>
                </c:manualLayout>
              </c:layout>
              <c:dLblPos val="t"/>
              <c:showVal val="1"/>
            </c:dLbl>
            <c:dLbl>
              <c:idx val="1"/>
              <c:layout>
                <c:manualLayout>
                  <c:x val="-1.9021068312407377E-3"/>
                  <c:y val="2.5212610013152392E-2"/>
                </c:manualLayout>
              </c:layout>
              <c:dLblPos val="t"/>
              <c:showVal val="1"/>
            </c:dLbl>
            <c:dLbl>
              <c:idx val="2"/>
              <c:layout>
                <c:manualLayout>
                  <c:x val="0"/>
                  <c:y val="2.2162660131059775E-2"/>
                </c:manualLayout>
              </c:layout>
              <c:dLblPos val="t"/>
              <c:showVal val="1"/>
            </c:dLbl>
            <c:dLbl>
              <c:idx val="3"/>
              <c:layout>
                <c:manualLayout>
                  <c:x val="1.8018018018018292E-3"/>
                  <c:y val="2.1949905268464617E-2"/>
                </c:manualLayout>
              </c:layout>
              <c:dLblPos val="t"/>
              <c:showVal val="1"/>
            </c:dLbl>
            <c:dLbl>
              <c:idx val="4"/>
              <c:layout>
                <c:manualLayout>
                  <c:x val="0"/>
                  <c:y val="2.4999623391446728E-2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3.5032985741647212E-3"/>
                  <c:y val="3.0886304774817092E-2"/>
                </c:manualLayout>
              </c:layout>
              <c:dLblPos val="t"/>
              <c:showVal val="1"/>
            </c:dLbl>
            <c:txPr>
              <a:bodyPr/>
              <a:lstStyle/>
              <a:p>
                <a:pPr algn="ctr">
                  <a:defRPr lang="es-MX" sz="1000" b="1" i="0" u="none" strike="noStrike" kern="1200" baseline="0">
                    <a:solidFill>
                      <a:sysClr val="windowText" lastClr="000000"/>
                    </a:solidFill>
                    <a:latin typeface="Presidencia Fina" pitchFamily="50" charset="0"/>
                    <a:ea typeface="+mn-ea"/>
                    <a:cs typeface="Arial" pitchFamily="34" charset="0"/>
                  </a:defRPr>
                </a:pPr>
                <a:endParaRPr lang="es-MX"/>
              </a:p>
            </c:txPr>
            <c:dLblPos val="t"/>
            <c:showVal val="1"/>
          </c:dLbls>
          <c:cat>
            <c:strRef>
              <c:f>'g2.5 g2.6'!$X$5:$AE$5</c:f>
              <c:strCache>
                <c:ptCount val="7"/>
                <c:pt idx="0">
                  <c:v>Metas</c:v>
                </c:pt>
                <c:pt idx="2">
                  <c:v>Avances</c:v>
                </c:pt>
                <c:pt idx="4">
                  <c:v>Caudal Colectado</c:v>
                </c:pt>
                <c:pt idx="6">
                  <c:v>Caudal Tratado</c:v>
                </c:pt>
              </c:strCache>
            </c:strRef>
          </c:cat>
          <c:val>
            <c:numRef>
              <c:f>'g2.5 g2.6'!$X$7:$AE$7</c:f>
              <c:numCache>
                <c:formatCode>0.0</c:formatCode>
                <c:ptCount val="8"/>
                <c:pt idx="0">
                  <c:v>40.9</c:v>
                </c:pt>
                <c:pt idx="2">
                  <c:v>40.192307692307686</c:v>
                </c:pt>
                <c:pt idx="4">
                  <c:v>208</c:v>
                </c:pt>
                <c:pt idx="6">
                  <c:v>83.6</c:v>
                </c:pt>
              </c:numCache>
            </c:numRef>
          </c:val>
        </c:ser>
        <c:ser>
          <c:idx val="0"/>
          <c:order val="2"/>
          <c:tx>
            <c:strRef>
              <c:f>'g2.5 g2.6'!$W$8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cat>
            <c:strRef>
              <c:f>'g2.5 g2.6'!$X$5:$AE$5</c:f>
              <c:strCache>
                <c:ptCount val="7"/>
                <c:pt idx="0">
                  <c:v>Metas</c:v>
                </c:pt>
                <c:pt idx="2">
                  <c:v>Avances</c:v>
                </c:pt>
                <c:pt idx="4">
                  <c:v>Caudal Colectado</c:v>
                </c:pt>
                <c:pt idx="6">
                  <c:v>Caudal Tratado</c:v>
                </c:pt>
              </c:strCache>
            </c:strRef>
          </c:cat>
          <c:val>
            <c:numRef>
              <c:f>'g2.5 g2.6'!$X$8:$AE$8</c:f>
              <c:numCache>
                <c:formatCode>0.0</c:formatCode>
                <c:ptCount val="8"/>
                <c:pt idx="0">
                  <c:v>43.5</c:v>
                </c:pt>
                <c:pt idx="2">
                  <c:v>42.1</c:v>
                </c:pt>
                <c:pt idx="4">
                  <c:v>209</c:v>
                </c:pt>
                <c:pt idx="6">
                  <c:v>88.127080000000007</c:v>
                </c:pt>
              </c:numCache>
            </c:numRef>
          </c:val>
        </c:ser>
        <c:ser>
          <c:idx val="3"/>
          <c:order val="3"/>
          <c:tx>
            <c:strRef>
              <c:f>'g2.5 g2.6'!$W$9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cat>
            <c:strRef>
              <c:f>'g2.5 g2.6'!$X$5:$AE$5</c:f>
              <c:strCache>
                <c:ptCount val="7"/>
                <c:pt idx="0">
                  <c:v>Metas</c:v>
                </c:pt>
                <c:pt idx="2">
                  <c:v>Avances</c:v>
                </c:pt>
                <c:pt idx="4">
                  <c:v>Caudal Colectado</c:v>
                </c:pt>
                <c:pt idx="6">
                  <c:v>Caudal Tratado</c:v>
                </c:pt>
              </c:strCache>
            </c:strRef>
          </c:cat>
          <c:val>
            <c:numRef>
              <c:f>'g2.5 g2.6'!$X$9:$AE$9</c:f>
              <c:numCache>
                <c:formatCode>0.0</c:formatCode>
                <c:ptCount val="8"/>
                <c:pt idx="0">
                  <c:v>48.5</c:v>
                </c:pt>
                <c:pt idx="2" formatCode="&quot;-&quot;">
                  <c:v>0</c:v>
                </c:pt>
                <c:pt idx="4">
                  <c:v>215</c:v>
                </c:pt>
                <c:pt idx="6">
                  <c:v>104.3</c:v>
                </c:pt>
              </c:numCache>
            </c:numRef>
          </c:val>
        </c:ser>
        <c:ser>
          <c:idx val="4"/>
          <c:order val="4"/>
          <c:tx>
            <c:strRef>
              <c:f>'g2.5 g2.6'!$W$10</c:f>
              <c:strCache>
                <c:ptCount val="1"/>
                <c:pt idx="0">
                  <c:v>2011</c:v>
                </c:pt>
              </c:strCache>
            </c:strRef>
          </c:tx>
          <c:spPr>
            <a:ln w="28575">
              <a:noFill/>
            </a:ln>
          </c:spPr>
          <c:cat>
            <c:strRef>
              <c:f>'g2.5 g2.6'!$X$5:$AE$5</c:f>
              <c:strCache>
                <c:ptCount val="7"/>
                <c:pt idx="0">
                  <c:v>Metas</c:v>
                </c:pt>
                <c:pt idx="2">
                  <c:v>Avances</c:v>
                </c:pt>
                <c:pt idx="4">
                  <c:v>Caudal Colectado</c:v>
                </c:pt>
                <c:pt idx="6">
                  <c:v>Caudal Tratado</c:v>
                </c:pt>
              </c:strCache>
            </c:strRef>
          </c:cat>
          <c:val>
            <c:numRef>
              <c:f>'g2.5 g2.6'!$X$10:$AE$10</c:f>
              <c:numCache>
                <c:formatCode>0.0</c:formatCode>
                <c:ptCount val="8"/>
                <c:pt idx="0">
                  <c:v>54.1</c:v>
                </c:pt>
                <c:pt idx="2" formatCode="&quot;-&quot;">
                  <c:v>0</c:v>
                </c:pt>
                <c:pt idx="4">
                  <c:v>218</c:v>
                </c:pt>
                <c:pt idx="6">
                  <c:v>117.9</c:v>
                </c:pt>
              </c:numCache>
            </c:numRef>
          </c:val>
        </c:ser>
        <c:ser>
          <c:idx val="5"/>
          <c:order val="5"/>
          <c:tx>
            <c:strRef>
              <c:f>'g2.5 g2.6'!$W$11</c:f>
              <c:strCache>
                <c:ptCount val="1"/>
                <c:pt idx="0">
                  <c:v>2012</c:v>
                </c:pt>
              </c:strCache>
            </c:strRef>
          </c:tx>
          <c:spPr>
            <a:ln w="28575">
              <a:noFill/>
            </a:ln>
          </c:spPr>
          <c:cat>
            <c:strRef>
              <c:f>'g2.5 g2.6'!$X$5:$AE$5</c:f>
              <c:strCache>
                <c:ptCount val="7"/>
                <c:pt idx="0">
                  <c:v>Metas</c:v>
                </c:pt>
                <c:pt idx="2">
                  <c:v>Avances</c:v>
                </c:pt>
                <c:pt idx="4">
                  <c:v>Caudal Colectado</c:v>
                </c:pt>
                <c:pt idx="6">
                  <c:v>Caudal Tratado</c:v>
                </c:pt>
              </c:strCache>
            </c:strRef>
          </c:cat>
          <c:val>
            <c:numRef>
              <c:f>'g2.5 g2.6'!$X$11:$AE$11</c:f>
              <c:numCache>
                <c:formatCode>0.0</c:formatCode>
                <c:ptCount val="8"/>
                <c:pt idx="0">
                  <c:v>60</c:v>
                </c:pt>
                <c:pt idx="2" formatCode="&quot;-&quot;">
                  <c:v>0</c:v>
                </c:pt>
                <c:pt idx="4">
                  <c:v>220</c:v>
                </c:pt>
                <c:pt idx="6">
                  <c:v>132</c:v>
                </c:pt>
              </c:numCache>
            </c:numRef>
          </c:val>
        </c:ser>
        <c:marker val="1"/>
        <c:axId val="89884928"/>
        <c:axId val="89899008"/>
      </c:lineChart>
      <c:catAx>
        <c:axId val="898849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 b="1">
                <a:solidFill>
                  <a:srgbClr val="663300"/>
                </a:solidFill>
                <a:latin typeface="Presidencia Fina" pitchFamily="50" charset="0"/>
                <a:cs typeface="Arial" pitchFamily="34" charset="0"/>
              </a:defRPr>
            </a:pPr>
            <a:endParaRPr lang="es-MX"/>
          </a:p>
        </c:txPr>
        <c:crossAx val="89899008"/>
        <c:crosses val="autoZero"/>
        <c:auto val="1"/>
        <c:lblAlgn val="ctr"/>
        <c:lblOffset val="100"/>
      </c:catAx>
      <c:valAx>
        <c:axId val="89899008"/>
        <c:scaling>
          <c:orientation val="minMax"/>
          <c:max val="70"/>
          <c:min val="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1200" b="1">
                <a:solidFill>
                  <a:srgbClr val="663300"/>
                </a:solidFill>
                <a:latin typeface="Presidencia Fina" pitchFamily="50" charset="0"/>
                <a:cs typeface="Arial" pitchFamily="34" charset="0"/>
              </a:defRPr>
            </a:pPr>
            <a:endParaRPr lang="es-MX"/>
          </a:p>
        </c:txPr>
        <c:crossAx val="89884928"/>
        <c:crosses val="autoZero"/>
        <c:crossBetween val="between"/>
        <c:majorUnit val="10"/>
      </c:valAx>
      <c:spPr>
        <a:solidFill>
          <a:srgbClr val="F8FEEC"/>
        </a:solidFill>
        <a:ln>
          <a:solidFill>
            <a:srgbClr val="663300"/>
          </a:solidFill>
        </a:ln>
      </c:spPr>
    </c:plotArea>
    <c:legend>
      <c:legendPos val="r"/>
      <c:legendEntry>
        <c:idx val="4"/>
        <c:txPr>
          <a:bodyPr/>
          <a:lstStyle/>
          <a:p>
            <a:pPr>
              <a:defRPr sz="1200" b="1">
                <a:solidFill>
                  <a:srgbClr val="006600"/>
                </a:solidFill>
                <a:latin typeface="Presidencia Fina" pitchFamily="50" charset="0"/>
                <a:cs typeface="Arial" pitchFamily="34" charset="0"/>
              </a:defRPr>
            </a:pPr>
            <a:endParaRPr lang="es-MX"/>
          </a:p>
        </c:txPr>
      </c:legendEntry>
      <c:layout>
        <c:manualLayout>
          <c:xMode val="edge"/>
          <c:yMode val="edge"/>
          <c:x val="1.7695453035528091E-2"/>
          <c:y val="0.93074038085664756"/>
          <c:w val="7.842971849245628E-2"/>
          <c:h val="6.9259587584664495E-2"/>
        </c:manualLayout>
      </c:layout>
      <c:txPr>
        <a:bodyPr/>
        <a:lstStyle/>
        <a:p>
          <a:pPr>
            <a:defRPr sz="1200" b="1">
              <a:solidFill>
                <a:srgbClr val="663300"/>
              </a:solidFill>
              <a:latin typeface="Presidencia Fina" pitchFamily="50" charset="0"/>
              <a:cs typeface="Arial" pitchFamily="34" charset="0"/>
            </a:defRPr>
          </a:pPr>
          <a:endParaRPr lang="es-MX"/>
        </a:p>
      </c:txPr>
    </c:legend>
    <c:dispBlanksAs val="zero"/>
  </c:chart>
  <c:spPr>
    <a:noFill/>
    <a:ln w="22225">
      <a:solidFill>
        <a:sysClr val="windowText" lastClr="000000">
          <a:alpha val="9300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6.6200135579078945E-2"/>
          <c:y val="2.1650019198501992E-2"/>
          <c:w val="0.90414420051798161"/>
          <c:h val="0.83504154740841863"/>
        </c:manualLayout>
      </c:layout>
      <c:bubbleChart>
        <c:ser>
          <c:idx val="0"/>
          <c:order val="0"/>
          <c:tx>
            <c:strRef>
              <c:f>'g2.8 g2.9'!$D$8:$D$9</c:f>
              <c:strCache>
                <c:ptCount val="1"/>
                <c:pt idx="0">
                  <c:v>Metas del milenio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dPt>
            <c:idx val="4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9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4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7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9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21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24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4.6864188998318783E-2"/>
                  <c:y val="-4.3927563447874502E-7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solidFill>
                        <a:schemeClr val="bg1"/>
                      </a:solidFill>
                      <a:latin typeface="Presidencia Firme" pitchFamily="50" charset="0"/>
                      <a:ea typeface="Adobe Gothic Std B" pitchFamily="34" charset="-128"/>
                      <a:cs typeface="+mn-cs"/>
                    </a:defRPr>
                  </a:pPr>
                  <a:endParaRPr lang="es-MX"/>
                </a:p>
              </c:txPr>
              <c:showVal val="1"/>
            </c:dLbl>
            <c:dLbl>
              <c:idx val="4"/>
              <c:layout>
                <c:manualLayout>
                  <c:x val="-4.5824632422514583E-2"/>
                  <c:y val="5.5788005578800573E-3"/>
                </c:manualLayout>
              </c:layout>
              <c:showVal val="1"/>
            </c:dLbl>
            <c:dLbl>
              <c:idx val="5"/>
              <c:layout>
                <c:manualLayout>
                  <c:x val="-4.6783611369399902E-2"/>
                  <c:y val="-5.3981118084970355E-3"/>
                </c:manualLayout>
              </c:layout>
              <c:showVal val="1"/>
            </c:dLbl>
            <c:dLbl>
              <c:idx val="9"/>
              <c:layout>
                <c:manualLayout>
                  <c:x val="-4.5833408754940123E-2"/>
                  <c:y val="-2.7894002789400438E-3"/>
                </c:manualLayout>
              </c:layout>
              <c:showVal val="1"/>
            </c:dLbl>
            <c:dLbl>
              <c:idx val="10"/>
              <c:layout>
                <c:manualLayout>
                  <c:x val="-4.6783611369399902E-2"/>
                  <c:y val="0"/>
                </c:manualLayout>
              </c:layout>
              <c:showVal val="1"/>
            </c:dLbl>
            <c:dLbl>
              <c:idx val="14"/>
              <c:layout>
                <c:manualLayout>
                  <c:x val="-4.5824632422514583E-2"/>
                  <c:y val="0"/>
                </c:manualLayout>
              </c:layout>
              <c:showVal val="1"/>
            </c:dLbl>
            <c:dLbl>
              <c:idx val="15"/>
              <c:layout>
                <c:manualLayout>
                  <c:x val="-4.7248377692321632E-2"/>
                  <c:y val="-4.9747638272952784E-3"/>
                </c:manualLayout>
              </c:layout>
              <c:showVal val="1"/>
            </c:dLbl>
            <c:dLbl>
              <c:idx val="16"/>
              <c:layout>
                <c:manualLayout>
                  <c:x val="-6.8874172185430405E-2"/>
                  <c:y val="-3.8210155857214642E-2"/>
                </c:manualLayout>
              </c:layout>
              <c:showVal val="1"/>
            </c:dLbl>
            <c:dLbl>
              <c:idx val="17"/>
              <c:layout>
                <c:manualLayout>
                  <c:x val="-4.5015235164569949E-2"/>
                  <c:y val="3.9117495250332203E-4"/>
                </c:manualLayout>
              </c:layout>
              <c:showVal val="1"/>
            </c:dLbl>
            <c:dLbl>
              <c:idx val="18"/>
              <c:layout>
                <c:manualLayout>
                  <c:x val="-4.9380961341821059E-2"/>
                  <c:y val="-1.7994414441946821E-3"/>
                </c:manualLayout>
              </c:layout>
              <c:showVal val="1"/>
            </c:dLbl>
            <c:dLbl>
              <c:idx val="19"/>
              <c:layout>
                <c:manualLayout>
                  <c:x val="-4.4895547931117025E-2"/>
                  <c:y val="3.1805752314433629E-3"/>
                </c:manualLayout>
              </c:layout>
              <c:showVal val="1"/>
            </c:dLbl>
            <c:dLbl>
              <c:idx val="20"/>
              <c:layout>
                <c:manualLayout>
                  <c:x val="-4.7981750707816906E-2"/>
                  <c:y val="-3.1224038854503811E-3"/>
                </c:manualLayout>
              </c:layout>
              <c:showVal val="1"/>
            </c:dLbl>
            <c:dLbl>
              <c:idx val="21"/>
              <c:layout>
                <c:manualLayout>
                  <c:x val="-4.3042535043621134E-2"/>
                  <c:y val="0"/>
                </c:manualLayout>
              </c:layout>
              <c:showVal val="1"/>
            </c:dLbl>
            <c:dLbl>
              <c:idx val="22"/>
              <c:layout>
                <c:manualLayout>
                  <c:x val="-4.8560527228581514E-2"/>
                  <c:y val="-2.6990559042485477E-3"/>
                </c:manualLayout>
              </c:layout>
              <c:showVal val="1"/>
            </c:dLbl>
            <c:dLbl>
              <c:idx val="24"/>
              <c:layout>
                <c:manualLayout>
                  <c:x val="-4.4431499354117061E-2"/>
                  <c:y val="8.3682008368201194E-3"/>
                </c:manualLayout>
              </c:layout>
              <c:showVal val="1"/>
            </c:dLbl>
            <c:dLbl>
              <c:idx val="25"/>
              <c:layout>
                <c:manualLayout>
                  <c:x val="-4.6783611369399812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0">
                    <a:solidFill>
                      <a:schemeClr val="tx2">
                        <a:lumMod val="50000"/>
                      </a:schemeClr>
                    </a:solidFill>
                    <a:latin typeface="Presidencia Firme" pitchFamily="50" charset="0"/>
                    <a:ea typeface="Adobe Gothic Std B" pitchFamily="34" charset="-128"/>
                  </a:defRPr>
                </a:pPr>
                <a:endParaRPr lang="es-MX"/>
              </a:p>
            </c:txPr>
            <c:showVal val="1"/>
          </c:dLbls>
          <c:xVal>
            <c:numRef>
              <c:f>'g2.8 g2.9'!$C$10:$C$34</c:f>
              <c:numCache>
                <c:formatCode>General</c:formatCode>
                <c:ptCount val="25"/>
                <c:pt idx="0">
                  <c:v>1990</c:v>
                </c:pt>
                <c:pt idx="4">
                  <c:v>1995</c:v>
                </c:pt>
                <c:pt idx="9">
                  <c:v>2000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1">
                  <c:v>2012</c:v>
                </c:pt>
                <c:pt idx="24">
                  <c:v>2015</c:v>
                </c:pt>
              </c:numCache>
            </c:numRef>
          </c:xVal>
          <c:yVal>
            <c:numRef>
              <c:f>'g2.8 g2.9'!$D$10:$D$34</c:f>
              <c:numCache>
                <c:formatCode>0.0</c:formatCode>
                <c:ptCount val="25"/>
                <c:pt idx="0" formatCode="General">
                  <c:v>78.400000000000006</c:v>
                </c:pt>
                <c:pt idx="4">
                  <c:v>80.560000000000016</c:v>
                </c:pt>
                <c:pt idx="9">
                  <c:v>82.720000000000027</c:v>
                </c:pt>
                <c:pt idx="14">
                  <c:v>84.880000000000038</c:v>
                </c:pt>
                <c:pt idx="17">
                  <c:v>86.176000000000045</c:v>
                </c:pt>
                <c:pt idx="19">
                  <c:v>87.040000000000049</c:v>
                </c:pt>
                <c:pt idx="21">
                  <c:v>87.904000000000025</c:v>
                </c:pt>
                <c:pt idx="24" formatCode="General">
                  <c:v>89.2</c:v>
                </c:pt>
              </c:numCache>
            </c:numRef>
          </c:yVal>
          <c:bubbleSize>
            <c:numLit>
              <c:formatCode>General</c:formatCode>
              <c:ptCount val="2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</c:numLit>
          </c:bubbleSize>
          <c:smooth val="1"/>
        </c:ser>
        <c:ser>
          <c:idx val="2"/>
          <c:order val="1"/>
          <c:tx>
            <c:strRef>
              <c:f>'g2.8 g2.9'!$F$8:$F$9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</c:spPr>
          <c:dPt>
            <c:idx val="21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24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Lbls>
            <c:dLbl>
              <c:idx val="0"/>
              <c:delete val="1"/>
            </c:dLbl>
            <c:dLbl>
              <c:idx val="4"/>
              <c:layout>
                <c:manualLayout>
                  <c:x val="-4.7209208566797355E-2"/>
                  <c:y val="-2.1963781723937251E-7"/>
                </c:manualLayout>
              </c:layout>
              <c:showVal val="1"/>
            </c:dLbl>
            <c:dLbl>
              <c:idx val="5"/>
              <c:layout>
                <c:manualLayout>
                  <c:x val="-4.9967393705680534E-2"/>
                  <c:y val="-6.5888842676706865E-3"/>
                </c:manualLayout>
              </c:layout>
              <c:showVal val="1"/>
            </c:dLbl>
            <c:dLbl>
              <c:idx val="9"/>
              <c:layout>
                <c:manualLayout>
                  <c:x val="-4.9986917779478363E-2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-4.8494815072222454E-2"/>
                  <c:y val="-5.8346362830897424E-3"/>
                </c:manualLayout>
              </c:layout>
              <c:showVal val="1"/>
            </c:dLbl>
            <c:dLbl>
              <c:idx val="14"/>
              <c:layout>
                <c:manualLayout>
                  <c:x val="-4.7209208566797355E-2"/>
                  <c:y val="0"/>
                </c:manualLayout>
              </c:layout>
              <c:showVal val="1"/>
            </c:dLbl>
            <c:dLbl>
              <c:idx val="15"/>
              <c:layout>
                <c:manualLayout>
                  <c:x val="-5.0675492110484215E-2"/>
                  <c:y val="-2.7077693918135686E-3"/>
                </c:manualLayout>
              </c:layout>
              <c:showVal val="1"/>
            </c:dLbl>
            <c:dLbl>
              <c:idx val="16"/>
              <c:layout>
                <c:manualLayout>
                  <c:x val="-5.0187100786601692E-2"/>
                  <c:y val="-6.2580963093898989E-2"/>
                </c:manualLayout>
              </c:layout>
              <c:showVal val="1"/>
            </c:dLbl>
            <c:dLbl>
              <c:idx val="17"/>
              <c:layout>
                <c:manualLayout>
                  <c:x val="-5.3375656167978985E-2"/>
                  <c:y val="-4.4577691386904501E-3"/>
                </c:manualLayout>
              </c:layout>
              <c:showVal val="1"/>
            </c:dLbl>
            <c:dLbl>
              <c:idx val="18"/>
              <c:layout>
                <c:manualLayout>
                  <c:x val="-4.7972091262886922E-2"/>
                  <c:y val="-2.6991291360546482E-3"/>
                </c:manualLayout>
              </c:layout>
              <c:showVal val="1"/>
            </c:dLbl>
            <c:dLbl>
              <c:idx val="21"/>
              <c:layout>
                <c:manualLayout>
                  <c:x val="-4.8598063173137862E-2"/>
                  <c:y val="-5.5788005578800573E-3"/>
                </c:manualLayout>
              </c:layout>
              <c:showVal val="1"/>
            </c:dLbl>
            <c:dLbl>
              <c:idx val="22"/>
              <c:layout>
                <c:manualLayout>
                  <c:x val="-5.1335414498785988E-2"/>
                  <c:y val="-2.6990559042485477E-3"/>
                </c:manualLayout>
              </c:layout>
              <c:showVal val="1"/>
            </c:dLbl>
            <c:dLbl>
              <c:idx val="24"/>
              <c:layout>
                <c:manualLayout>
                  <c:x val="-4.7209318270952622E-2"/>
                  <c:y val="-2.7894002789400438E-3"/>
                </c:manualLayout>
              </c:layout>
              <c:showVal val="1"/>
            </c:dLbl>
            <c:dLbl>
              <c:idx val="25"/>
              <c:layout>
                <c:manualLayout>
                  <c:x val="-5.3545055047099277E-2"/>
                  <c:y val="-5.3981118084970945E-3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0">
                    <a:solidFill>
                      <a:schemeClr val="bg1"/>
                    </a:solidFill>
                    <a:latin typeface="Presidencia Firme" pitchFamily="50" charset="0"/>
                  </a:defRPr>
                </a:pPr>
                <a:endParaRPr lang="es-MX"/>
              </a:p>
            </c:txPr>
            <c:showVal val="1"/>
          </c:dLbls>
          <c:xVal>
            <c:numRef>
              <c:f>'g2.8 g2.9'!$C$10:$C$34</c:f>
              <c:numCache>
                <c:formatCode>General</c:formatCode>
                <c:ptCount val="25"/>
                <c:pt idx="0">
                  <c:v>1990</c:v>
                </c:pt>
                <c:pt idx="4">
                  <c:v>1995</c:v>
                </c:pt>
                <c:pt idx="9">
                  <c:v>2000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1">
                  <c:v>2012</c:v>
                </c:pt>
                <c:pt idx="24">
                  <c:v>2015</c:v>
                </c:pt>
              </c:numCache>
            </c:numRef>
          </c:xVal>
          <c:yVal>
            <c:numRef>
              <c:f>'g2.8 g2.9'!$F$10:$F$34</c:f>
              <c:numCache>
                <c:formatCode>_-* #,##0.0_-;\-* #,##0.0_-;_-* "-"??_-;_-@_-</c:formatCode>
                <c:ptCount val="25"/>
                <c:pt idx="0">
                  <c:v>78.394310831224431</c:v>
                </c:pt>
                <c:pt idx="4">
                  <c:v>84.580698939514704</c:v>
                </c:pt>
                <c:pt idx="9">
                  <c:v>87.9</c:v>
                </c:pt>
                <c:pt idx="14">
                  <c:v>89.198364253549798</c:v>
                </c:pt>
                <c:pt idx="18">
                  <c:v>90.650013813043159</c:v>
                </c:pt>
                <c:pt idx="21">
                  <c:v>92</c:v>
                </c:pt>
                <c:pt idx="24">
                  <c:v>92.5</c:v>
                </c:pt>
              </c:numCache>
            </c:numRef>
          </c:yVal>
          <c:bubbleSize>
            <c:numLit>
              <c:formatCode>General</c:formatCode>
              <c:ptCount val="2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</c:numLit>
          </c:bubbleSize>
          <c:smooth val="1"/>
        </c:ser>
        <c:bubbleScale val="30"/>
        <c:axId val="89237376"/>
        <c:axId val="89238912"/>
      </c:bubbleChart>
      <c:valAx>
        <c:axId val="89237376"/>
        <c:scaling>
          <c:orientation val="minMax"/>
          <c:max val="2020"/>
        </c:scaling>
        <c:axPos val="b"/>
        <c:numFmt formatCode="General" sourceLinked="1"/>
        <c:tickLblPos val="nextTo"/>
        <c:spPr>
          <a:noFill/>
          <a:ln w="50800" cap="rnd" cmpd="sng">
            <a:noFill/>
          </a:ln>
        </c:spPr>
        <c:txPr>
          <a:bodyPr/>
          <a:lstStyle/>
          <a:p>
            <a:pPr>
              <a:defRPr sz="1200" b="0" baseline="0">
                <a:solidFill>
                  <a:sysClr val="windowText" lastClr="000000"/>
                </a:solidFill>
                <a:latin typeface="Presidencia Firme" pitchFamily="50" charset="0"/>
              </a:defRPr>
            </a:pPr>
            <a:endParaRPr lang="es-MX"/>
          </a:p>
        </c:txPr>
        <c:crossAx val="89238912"/>
        <c:crosses val="autoZero"/>
        <c:crossBetween val="midCat"/>
      </c:valAx>
      <c:valAx>
        <c:axId val="89238912"/>
        <c:scaling>
          <c:orientation val="minMax"/>
          <c:max val="100"/>
          <c:min val="60"/>
        </c:scaling>
        <c:axPos val="l"/>
        <c:majorGridlines>
          <c:spPr>
            <a:ln w="12700">
              <a:solidFill>
                <a:schemeClr val="tx1"/>
              </a:solidFill>
            </a:ln>
            <a:effectLst/>
          </c:spPr>
        </c:majorGridlines>
        <c:numFmt formatCode="General" sourceLinked="0"/>
        <c:tickLblPos val="nextTo"/>
        <c:spPr>
          <a:noFill/>
          <a:ln w="12700" cap="rnd" cmpd="sng">
            <a:solidFill>
              <a:sysClr val="windowText" lastClr="000000"/>
            </a:solidFill>
            <a:prstDash val="solid"/>
            <a:round/>
          </a:ln>
          <a:effectLst/>
        </c:spPr>
        <c:txPr>
          <a:bodyPr/>
          <a:lstStyle/>
          <a:p>
            <a:pPr>
              <a:defRPr sz="1200" b="0">
                <a:solidFill>
                  <a:sysClr val="windowText" lastClr="000000"/>
                </a:solidFill>
                <a:latin typeface="Presidencia Firme" pitchFamily="50" charset="0"/>
              </a:defRPr>
            </a:pPr>
            <a:endParaRPr lang="es-MX"/>
          </a:p>
        </c:txPr>
        <c:crossAx val="89237376"/>
        <c:crosses val="autoZero"/>
        <c:crossBetween val="midCat"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1"/>
        <c:txPr>
          <a:bodyPr/>
          <a:lstStyle/>
          <a:p>
            <a:pPr>
              <a:defRPr sz="1400" b="0" baseline="0">
                <a:solidFill>
                  <a:schemeClr val="tx2">
                    <a:lumMod val="75000"/>
                  </a:schemeClr>
                </a:solidFill>
                <a:latin typeface="Presidencia Base" pitchFamily="50" charset="0"/>
              </a:defRPr>
            </a:pPr>
            <a:endParaRPr lang="es-MX"/>
          </a:p>
        </c:txPr>
      </c:legendEntry>
      <c:legendEntry>
        <c:idx val="0"/>
        <c:txPr>
          <a:bodyPr/>
          <a:lstStyle/>
          <a:p>
            <a:pPr>
              <a:defRPr sz="1400" b="0" baseline="0">
                <a:solidFill>
                  <a:schemeClr val="tx2">
                    <a:lumMod val="75000"/>
                  </a:schemeClr>
                </a:solidFill>
                <a:latin typeface="Presidencia Base" pitchFamily="50" charset="0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94322347715585364"/>
          <c:w val="1"/>
          <c:h val="5.4213607914399178E-2"/>
        </c:manualLayout>
      </c:layout>
      <c:txPr>
        <a:bodyPr/>
        <a:lstStyle/>
        <a:p>
          <a:pPr>
            <a:defRPr sz="1200" b="0" baseline="0">
              <a:solidFill>
                <a:schemeClr val="tx2">
                  <a:lumMod val="75000"/>
                </a:schemeClr>
              </a:solidFill>
              <a:latin typeface="Presidencia Base" pitchFamily="50" charset="0"/>
            </a:defRPr>
          </a:pPr>
          <a:endParaRPr lang="es-MX"/>
        </a:p>
      </c:txPr>
    </c:legend>
    <c:plotVisOnly val="1"/>
  </c:chart>
  <c:spPr>
    <a:ln>
      <a:noFill/>
    </a:ln>
  </c:spPr>
  <c:printSettings>
    <c:headerFooter/>
    <c:pageMargins b="0.74803149606299646" l="0.70866141732283972" r="0.70866141732283972" t="0.74803149606299646" header="0.31496062992126395" footer="0.31496062992126395"/>
    <c:pageSetup paperSize="11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6.5801434600219713E-2"/>
          <c:y val="2.1662186005201551E-2"/>
          <c:w val="0.90414420051798161"/>
          <c:h val="0.83504154740841918"/>
        </c:manualLayout>
      </c:layout>
      <c:bubbleChart>
        <c:ser>
          <c:idx val="1"/>
          <c:order val="0"/>
          <c:tx>
            <c:strRef>
              <c:f>'g2.8 g2.9'!$E$8:$E$9</c:f>
              <c:strCache>
                <c:ptCount val="1"/>
                <c:pt idx="0">
                  <c:v>Metas del milenio</c:v>
                </c:pt>
              </c:strCache>
            </c:strRef>
          </c:tx>
          <c:spPr>
            <a:solidFill>
              <a:srgbClr val="76DC80"/>
            </a:solidFill>
            <a:ln>
              <a:noFill/>
            </a:ln>
          </c:spPr>
          <c:dLbls>
            <c:dLbl>
              <c:idx val="0"/>
              <c:delete val="1"/>
            </c:dLbl>
            <c:txPr>
              <a:bodyPr/>
              <a:lstStyle/>
              <a:p>
                <a:pPr algn="ctr" rtl="0">
                  <a:defRPr sz="1200">
                    <a:latin typeface="Presidencia Firme" pitchFamily="50" charset="0"/>
                  </a:defRPr>
                </a:pPr>
                <a:endParaRPr lang="es-MX"/>
              </a:p>
            </c:txPr>
            <c:dLblPos val="ctr"/>
            <c:showVal val="1"/>
          </c:dLbls>
          <c:xVal>
            <c:numRef>
              <c:f>'g2.8 g2.9'!$C$10:$C$34</c:f>
              <c:numCache>
                <c:formatCode>General</c:formatCode>
                <c:ptCount val="25"/>
                <c:pt idx="0">
                  <c:v>1990</c:v>
                </c:pt>
                <c:pt idx="4">
                  <c:v>1995</c:v>
                </c:pt>
                <c:pt idx="9">
                  <c:v>2000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1">
                  <c:v>2012</c:v>
                </c:pt>
                <c:pt idx="24">
                  <c:v>2015</c:v>
                </c:pt>
              </c:numCache>
            </c:numRef>
          </c:xVal>
          <c:yVal>
            <c:numRef>
              <c:f>'g2.8 g2.9'!$E$10:$E$34</c:f>
              <c:numCache>
                <c:formatCode>0.0</c:formatCode>
                <c:ptCount val="25"/>
                <c:pt idx="0" formatCode="General">
                  <c:v>61.5</c:v>
                </c:pt>
                <c:pt idx="4">
                  <c:v>65.350000000000009</c:v>
                </c:pt>
                <c:pt idx="9">
                  <c:v>69.199999999999989</c:v>
                </c:pt>
                <c:pt idx="14">
                  <c:v>73.049999999999969</c:v>
                </c:pt>
                <c:pt idx="17">
                  <c:v>75.359999999999957</c:v>
                </c:pt>
                <c:pt idx="19">
                  <c:v>76.899999999999949</c:v>
                </c:pt>
                <c:pt idx="21">
                  <c:v>78.439999999999969</c:v>
                </c:pt>
                <c:pt idx="24">
                  <c:v>80.75</c:v>
                </c:pt>
              </c:numCache>
            </c:numRef>
          </c:yVal>
          <c:bubbleSize>
            <c:numLit>
              <c:formatCode>General</c:formatCode>
              <c:ptCount val="2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</c:numLit>
          </c:bubbleSize>
          <c:smooth val="1"/>
        </c:ser>
        <c:ser>
          <c:idx val="3"/>
          <c:order val="1"/>
          <c:tx>
            <c:strRef>
              <c:f>'g2.8 g2.9'!$G$8:$G$9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rgbClr val="7C9B3F"/>
            </a:solidFill>
            <a:ln>
              <a:noFill/>
            </a:ln>
          </c:spPr>
          <c:dPt>
            <c:idx val="21"/>
            <c:spPr>
              <a:solidFill>
                <a:srgbClr val="92D050"/>
              </a:solidFill>
              <a:ln>
                <a:noFill/>
              </a:ln>
            </c:spPr>
          </c:dPt>
          <c:dPt>
            <c:idx val="24"/>
            <c:spPr>
              <a:solidFill>
                <a:srgbClr val="92D050"/>
              </a:solidFill>
              <a:ln>
                <a:noFill/>
              </a:ln>
            </c:spPr>
          </c:dPt>
          <c:dLbls>
            <c:dLbl>
              <c:idx val="21"/>
              <c:spPr/>
              <c:txPr>
                <a:bodyPr/>
                <a:lstStyle/>
                <a:p>
                  <a:pPr algn="ctr" rtl="0">
                    <a:defRPr sz="1200">
                      <a:solidFill>
                        <a:sysClr val="windowText" lastClr="000000"/>
                      </a:solidFill>
                      <a:latin typeface="Presidencia Firme" pitchFamily="50" charset="0"/>
                    </a:defRPr>
                  </a:pPr>
                  <a:endParaRPr lang="es-MX"/>
                </a:p>
              </c:txPr>
            </c:dLbl>
            <c:dLbl>
              <c:idx val="22"/>
              <c:layout>
                <c:manualLayout>
                  <c:x val="-1.3933524767084052E-3"/>
                  <c:y val="-7.8587524300132907E-3"/>
                </c:manualLayout>
              </c:layout>
              <c:dLblPos val="ctr"/>
              <c:showVal val="1"/>
            </c:dLbl>
            <c:dLbl>
              <c:idx val="24"/>
              <c:layout/>
              <c:tx>
                <c:rich>
                  <a:bodyPr/>
                  <a:lstStyle/>
                  <a:p>
                    <a:pPr algn="ctr" rtl="0">
                      <a:defRPr sz="1200">
                        <a:solidFill>
                          <a:sysClr val="windowText" lastClr="000000"/>
                        </a:solidFill>
                        <a:latin typeface="Presidencia Firme" pitchFamily="50" charset="0"/>
                      </a:defRPr>
                    </a:pPr>
                    <a:r>
                      <a:rPr lang="es-MX" sz="1200" b="0" i="0" u="none" strike="noStrike" kern="1200" baseline="0">
                        <a:solidFill>
                          <a:sysClr val="windowText" lastClr="000000"/>
                        </a:solidFill>
                        <a:latin typeface="Presidencia Firme" pitchFamily="50" charset="0"/>
                        <a:ea typeface="+mn-ea"/>
                        <a:cs typeface="Aharoni" pitchFamily="2" charset="-79"/>
                      </a:rPr>
                      <a:t> 88.8 </a:t>
                    </a:r>
                  </a:p>
                </c:rich>
              </c:tx>
              <c:spPr/>
              <c:dLblPos val="ctr"/>
              <c:showVal val="1"/>
            </c:dLbl>
            <c:txPr>
              <a:bodyPr/>
              <a:lstStyle/>
              <a:p>
                <a:pPr algn="ctr" rtl="0">
                  <a:defRPr sz="1200">
                    <a:solidFill>
                      <a:schemeClr val="bg1"/>
                    </a:solidFill>
                    <a:latin typeface="Presidencia Firme" pitchFamily="50" charset="0"/>
                  </a:defRPr>
                </a:pPr>
                <a:endParaRPr lang="es-MX"/>
              </a:p>
            </c:txPr>
            <c:dLblPos val="ctr"/>
            <c:showVal val="1"/>
          </c:dLbls>
          <c:xVal>
            <c:numRef>
              <c:f>'g2.8 g2.9'!$C$10:$C$34</c:f>
              <c:numCache>
                <c:formatCode>General</c:formatCode>
                <c:ptCount val="25"/>
                <c:pt idx="0">
                  <c:v>1990</c:v>
                </c:pt>
                <c:pt idx="4">
                  <c:v>1995</c:v>
                </c:pt>
                <c:pt idx="9">
                  <c:v>2000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1">
                  <c:v>2012</c:v>
                </c:pt>
                <c:pt idx="24">
                  <c:v>2015</c:v>
                </c:pt>
              </c:numCache>
            </c:numRef>
          </c:xVal>
          <c:yVal>
            <c:numRef>
              <c:f>'g2.8 g2.9'!$G$10:$G$34</c:f>
              <c:numCache>
                <c:formatCode>_-* #,##0.0_-;\-* #,##0.0_-;_-* "-"??_-;_-@_-</c:formatCode>
                <c:ptCount val="25"/>
                <c:pt idx="0">
                  <c:v>61.484955632595565</c:v>
                </c:pt>
                <c:pt idx="4">
                  <c:v>72.401762345151994</c:v>
                </c:pt>
                <c:pt idx="9">
                  <c:v>76.178809624843396</c:v>
                </c:pt>
                <c:pt idx="14">
                  <c:v>85.6</c:v>
                </c:pt>
                <c:pt idx="18">
                  <c:v>86.796102156650576</c:v>
                </c:pt>
                <c:pt idx="21">
                  <c:v>88</c:v>
                </c:pt>
                <c:pt idx="24">
                  <c:v>88.8</c:v>
                </c:pt>
              </c:numCache>
            </c:numRef>
          </c:yVal>
          <c:bubbleSize>
            <c:numLit>
              <c:formatCode>General</c:formatCode>
              <c:ptCount val="2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</c:numLit>
          </c:bubbleSize>
          <c:smooth val="1"/>
        </c:ser>
        <c:bubbleScale val="30"/>
        <c:axId val="90242432"/>
        <c:axId val="90055808"/>
      </c:bubbleChart>
      <c:valAx>
        <c:axId val="90242432"/>
        <c:scaling>
          <c:orientation val="minMax"/>
        </c:scaling>
        <c:axPos val="b"/>
        <c:numFmt formatCode="General" sourceLinked="1"/>
        <c:tickLblPos val="nextTo"/>
        <c:spPr>
          <a:noFill/>
          <a:ln w="25400" cap="rnd" cmpd="sng">
            <a:solidFill>
              <a:schemeClr val="accent3">
                <a:lumMod val="50000"/>
              </a:schemeClr>
            </a:solidFill>
          </a:ln>
        </c:spPr>
        <c:txPr>
          <a:bodyPr/>
          <a:lstStyle/>
          <a:p>
            <a:pPr>
              <a:defRPr>
                <a:latin typeface="Presidencia Firme" pitchFamily="50" charset="0"/>
              </a:defRPr>
            </a:pPr>
            <a:endParaRPr lang="es-MX"/>
          </a:p>
        </c:txPr>
        <c:crossAx val="90055808"/>
        <c:crosses val="autoZero"/>
        <c:crossBetween val="midCat"/>
        <c:minorUnit val="1"/>
      </c:valAx>
      <c:valAx>
        <c:axId val="90055808"/>
        <c:scaling>
          <c:orientation val="minMax"/>
          <c:max val="100"/>
          <c:min val="50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0"/>
        <c:tickLblPos val="nextTo"/>
        <c:spPr>
          <a:noFill/>
          <a:ln w="19050" cap="rnd" cmpd="sng">
            <a:solidFill>
              <a:schemeClr val="accent3">
                <a:lumMod val="50000"/>
              </a:schemeClr>
            </a:solidFill>
            <a:prstDash val="solid"/>
            <a:round/>
          </a:ln>
          <a:effectLst/>
        </c:spPr>
        <c:txPr>
          <a:bodyPr/>
          <a:lstStyle/>
          <a:p>
            <a:pPr>
              <a:defRPr>
                <a:latin typeface="Presidencia Firme" pitchFamily="50" charset="0"/>
              </a:defRPr>
            </a:pPr>
            <a:endParaRPr lang="es-MX"/>
          </a:p>
        </c:txPr>
        <c:crossAx val="90242432"/>
        <c:crosses val="autoZero"/>
        <c:crossBetween val="midCat"/>
      </c:valAx>
      <c:spPr>
        <a:noFill/>
        <a:ln w="25400">
          <a:solidFill>
            <a:schemeClr val="accent3">
              <a:lumMod val="50000"/>
            </a:schemeClr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1400"/>
            </a:pPr>
            <a:endParaRPr lang="es-MX"/>
          </a:p>
        </c:txPr>
      </c:legendEntry>
      <c:legendEntry>
        <c:idx val="1"/>
        <c:txPr>
          <a:bodyPr/>
          <a:lstStyle/>
          <a:p>
            <a:pPr>
              <a:defRPr sz="1400"/>
            </a:pPr>
            <a:endParaRPr lang="es-MX"/>
          </a:p>
        </c:txPr>
      </c:legendEntry>
      <c:layout>
        <c:manualLayout>
          <c:xMode val="edge"/>
          <c:yMode val="edge"/>
          <c:x val="0"/>
          <c:y val="0.94322347431122011"/>
          <c:w val="0.99718329248579063"/>
          <c:h val="5.4213607914399248E-2"/>
        </c:manualLayout>
      </c:layout>
      <c:txPr>
        <a:bodyPr/>
        <a:lstStyle/>
        <a:p>
          <a:pPr>
            <a:defRPr sz="1100"/>
          </a:pPr>
          <a:endParaRPr lang="es-MX"/>
        </a:p>
      </c:txPr>
    </c:legend>
    <c:plotVisOnly val="1"/>
  </c:chart>
  <c:spPr>
    <a:noFill/>
    <a:ln w="12700">
      <a:noFill/>
    </a:ln>
  </c:spPr>
  <c:txPr>
    <a:bodyPr/>
    <a:lstStyle/>
    <a:p>
      <a:pPr>
        <a:defRPr>
          <a:latin typeface="Presidencia Base" pitchFamily="50" charset="0"/>
        </a:defRPr>
      </a:pPr>
      <a:endParaRPr lang="es-MX"/>
    </a:p>
  </c:txPr>
  <c:printSettings>
    <c:headerFooter/>
    <c:pageMargins b="0.74803149606299646" l="0.70866141732283972" r="0.70866141732283972" t="0.74803149606299646" header="0.31496062992126395" footer="0.31496062992126395"/>
    <c:pageSetup paperSize="11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9.4647545213170536E-2"/>
          <c:y val="1.8388855239249009E-2"/>
          <c:w val="0.82417095693029763"/>
          <c:h val="0.68961598479005559"/>
        </c:manualLayout>
      </c:layout>
      <c:barChart>
        <c:barDir val="col"/>
        <c:grouping val="clustered"/>
        <c:ser>
          <c:idx val="1"/>
          <c:order val="0"/>
          <c:tx>
            <c:strRef>
              <c:f>g3.1!$E$48</c:f>
              <c:strCache>
                <c:ptCount val="1"/>
                <c:pt idx="0">
                  <c:v>SUMINISTRADO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g3.1!$D$49:$D$80</c:f>
              <c:strCache>
                <c:ptCount val="32"/>
                <c:pt idx="0">
                  <c:v>Chihuahua</c:v>
                </c:pt>
                <c:pt idx="1">
                  <c:v>México</c:v>
                </c:pt>
                <c:pt idx="2">
                  <c:v>Tabasco</c:v>
                </c:pt>
                <c:pt idx="3">
                  <c:v>Campeche</c:v>
                </c:pt>
                <c:pt idx="4">
                  <c:v>Tamaulipas</c:v>
                </c:pt>
                <c:pt idx="5">
                  <c:v>Tlaxcala</c:v>
                </c:pt>
                <c:pt idx="6">
                  <c:v>Puebla</c:v>
                </c:pt>
                <c:pt idx="7">
                  <c:v>Baja California Sur</c:v>
                </c:pt>
                <c:pt idx="8">
                  <c:v>Zacatecas</c:v>
                </c:pt>
                <c:pt idx="9">
                  <c:v>Baja California</c:v>
                </c:pt>
                <c:pt idx="10">
                  <c:v>Nayarit</c:v>
                </c:pt>
                <c:pt idx="11">
                  <c:v>Oaxaca</c:v>
                </c:pt>
                <c:pt idx="12">
                  <c:v>Colima</c:v>
                </c:pt>
                <c:pt idx="13">
                  <c:v>Sonora </c:v>
                </c:pt>
                <c:pt idx="14">
                  <c:v>Distrito Federal</c:v>
                </c:pt>
                <c:pt idx="15">
                  <c:v>Quintana Roo</c:v>
                </c:pt>
                <c:pt idx="16">
                  <c:v>Jalisco</c:v>
                </c:pt>
                <c:pt idx="17">
                  <c:v>Veracruz de Ignacio de la Llave</c:v>
                </c:pt>
                <c:pt idx="18">
                  <c:v>Nuevo León</c:v>
                </c:pt>
                <c:pt idx="19">
                  <c:v>Sinaloa</c:v>
                </c:pt>
                <c:pt idx="20">
                  <c:v>Querétaro de Arteaga</c:v>
                </c:pt>
                <c:pt idx="21">
                  <c:v>Morelos</c:v>
                </c:pt>
                <c:pt idx="22">
                  <c:v>Coahuila de Zaragoza</c:v>
                </c:pt>
                <c:pt idx="23">
                  <c:v>Hidalgo</c:v>
                </c:pt>
                <c:pt idx="24">
                  <c:v>Durango</c:v>
                </c:pt>
                <c:pt idx="25">
                  <c:v>Michoacán de Ocampo</c:v>
                </c:pt>
                <c:pt idx="26">
                  <c:v>Aguascalientes</c:v>
                </c:pt>
                <c:pt idx="27">
                  <c:v>Guanajuato</c:v>
                </c:pt>
                <c:pt idx="28">
                  <c:v>San Luis Potosí</c:v>
                </c:pt>
                <c:pt idx="29">
                  <c:v>Yucatán</c:v>
                </c:pt>
                <c:pt idx="30">
                  <c:v>Guerrero</c:v>
                </c:pt>
                <c:pt idx="31">
                  <c:v>Chiapas</c:v>
                </c:pt>
              </c:strCache>
            </c:strRef>
          </c:cat>
          <c:val>
            <c:numRef>
              <c:f>g3.1!$E$49:$E$80</c:f>
              <c:numCache>
                <c:formatCode>#,##0.000</c:formatCode>
                <c:ptCount val="32"/>
                <c:pt idx="0">
                  <c:v>13.215371999999999</c:v>
                </c:pt>
                <c:pt idx="1">
                  <c:v>35.47627</c:v>
                </c:pt>
                <c:pt idx="2">
                  <c:v>10.447999999999999</c:v>
                </c:pt>
                <c:pt idx="3">
                  <c:v>2.9175399999999998</c:v>
                </c:pt>
                <c:pt idx="4">
                  <c:v>10.98624</c:v>
                </c:pt>
                <c:pt idx="5">
                  <c:v>2.28125</c:v>
                </c:pt>
                <c:pt idx="6">
                  <c:v>9.8229000000000006</c:v>
                </c:pt>
                <c:pt idx="7">
                  <c:v>2.8001300000000002</c:v>
                </c:pt>
                <c:pt idx="8">
                  <c:v>6.4015399999999998</c:v>
                </c:pt>
                <c:pt idx="9">
                  <c:v>8.6289999999999996</c:v>
                </c:pt>
                <c:pt idx="10">
                  <c:v>3.1232920000000002</c:v>
                </c:pt>
                <c:pt idx="11">
                  <c:v>4.9295400000000003</c:v>
                </c:pt>
                <c:pt idx="12">
                  <c:v>3.7509399999999999</c:v>
                </c:pt>
                <c:pt idx="13">
                  <c:v>12.231129999999999</c:v>
                </c:pt>
                <c:pt idx="14">
                  <c:v>32.088000000000001</c:v>
                </c:pt>
                <c:pt idx="15">
                  <c:v>3.90726</c:v>
                </c:pt>
                <c:pt idx="16">
                  <c:v>20.693604000000001</c:v>
                </c:pt>
                <c:pt idx="17">
                  <c:v>21.795319999999727</c:v>
                </c:pt>
                <c:pt idx="18">
                  <c:v>12.582180000000006</c:v>
                </c:pt>
                <c:pt idx="19">
                  <c:v>10.13538</c:v>
                </c:pt>
                <c:pt idx="20">
                  <c:v>5.0492100000000004</c:v>
                </c:pt>
                <c:pt idx="21">
                  <c:v>9.9411999999999985</c:v>
                </c:pt>
                <c:pt idx="22">
                  <c:v>11.650550000000004</c:v>
                </c:pt>
                <c:pt idx="23">
                  <c:v>4.2791600000000134</c:v>
                </c:pt>
                <c:pt idx="24">
                  <c:v>7.9228799999999975</c:v>
                </c:pt>
                <c:pt idx="25">
                  <c:v>14.68304</c:v>
                </c:pt>
                <c:pt idx="26">
                  <c:v>3.9195199999999977</c:v>
                </c:pt>
                <c:pt idx="27">
                  <c:v>13.689213000000001</c:v>
                </c:pt>
                <c:pt idx="28">
                  <c:v>5.4700000000000024</c:v>
                </c:pt>
                <c:pt idx="29">
                  <c:v>6.8871799999999945</c:v>
                </c:pt>
                <c:pt idx="30">
                  <c:v>7.7017899999999999</c:v>
                </c:pt>
                <c:pt idx="31">
                  <c:v>8.7673299999999994</c:v>
                </c:pt>
              </c:numCache>
            </c:numRef>
          </c:val>
        </c:ser>
        <c:ser>
          <c:idx val="0"/>
          <c:order val="1"/>
          <c:tx>
            <c:strRef>
              <c:f>g3.1!$F$48</c:f>
              <c:strCache>
                <c:ptCount val="1"/>
                <c:pt idx="0">
                  <c:v>DESINFECTADO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g3.1!$D$49:$D$80</c:f>
              <c:strCache>
                <c:ptCount val="32"/>
                <c:pt idx="0">
                  <c:v>Chihuahua</c:v>
                </c:pt>
                <c:pt idx="1">
                  <c:v>México</c:v>
                </c:pt>
                <c:pt idx="2">
                  <c:v>Tabasco</c:v>
                </c:pt>
                <c:pt idx="3">
                  <c:v>Campeche</c:v>
                </c:pt>
                <c:pt idx="4">
                  <c:v>Tamaulipas</c:v>
                </c:pt>
                <c:pt idx="5">
                  <c:v>Tlaxcala</c:v>
                </c:pt>
                <c:pt idx="6">
                  <c:v>Puebla</c:v>
                </c:pt>
                <c:pt idx="7">
                  <c:v>Baja California Sur</c:v>
                </c:pt>
                <c:pt idx="8">
                  <c:v>Zacatecas</c:v>
                </c:pt>
                <c:pt idx="9">
                  <c:v>Baja California</c:v>
                </c:pt>
                <c:pt idx="10">
                  <c:v>Nayarit</c:v>
                </c:pt>
                <c:pt idx="11">
                  <c:v>Oaxaca</c:v>
                </c:pt>
                <c:pt idx="12">
                  <c:v>Colima</c:v>
                </c:pt>
                <c:pt idx="13">
                  <c:v>Sonora </c:v>
                </c:pt>
                <c:pt idx="14">
                  <c:v>Distrito Federal</c:v>
                </c:pt>
                <c:pt idx="15">
                  <c:v>Quintana Roo</c:v>
                </c:pt>
                <c:pt idx="16">
                  <c:v>Jalisco</c:v>
                </c:pt>
                <c:pt idx="17">
                  <c:v>Veracruz de Ignacio de la Llave</c:v>
                </c:pt>
                <c:pt idx="18">
                  <c:v>Nuevo León</c:v>
                </c:pt>
                <c:pt idx="19">
                  <c:v>Sinaloa</c:v>
                </c:pt>
                <c:pt idx="20">
                  <c:v>Querétaro de Arteaga</c:v>
                </c:pt>
                <c:pt idx="21">
                  <c:v>Morelos</c:v>
                </c:pt>
                <c:pt idx="22">
                  <c:v>Coahuila de Zaragoza</c:v>
                </c:pt>
                <c:pt idx="23">
                  <c:v>Hidalgo</c:v>
                </c:pt>
                <c:pt idx="24">
                  <c:v>Durango</c:v>
                </c:pt>
                <c:pt idx="25">
                  <c:v>Michoacán de Ocampo</c:v>
                </c:pt>
                <c:pt idx="26">
                  <c:v>Aguascalientes</c:v>
                </c:pt>
                <c:pt idx="27">
                  <c:v>Guanajuato</c:v>
                </c:pt>
                <c:pt idx="28">
                  <c:v>San Luis Potosí</c:v>
                </c:pt>
                <c:pt idx="29">
                  <c:v>Yucatán</c:v>
                </c:pt>
                <c:pt idx="30">
                  <c:v>Guerrero</c:v>
                </c:pt>
                <c:pt idx="31">
                  <c:v>Chiapas</c:v>
                </c:pt>
              </c:strCache>
            </c:strRef>
          </c:cat>
          <c:val>
            <c:numRef>
              <c:f>g3.1!$F$49:$F$80</c:f>
              <c:numCache>
                <c:formatCode>#,##0.000</c:formatCode>
                <c:ptCount val="32"/>
                <c:pt idx="0">
                  <c:v>13.215371999999999</c:v>
                </c:pt>
                <c:pt idx="1">
                  <c:v>35.47627</c:v>
                </c:pt>
                <c:pt idx="2">
                  <c:v>10.447999999999999</c:v>
                </c:pt>
                <c:pt idx="3">
                  <c:v>2.9146899999999967</c:v>
                </c:pt>
                <c:pt idx="4">
                  <c:v>10.947909999999998</c:v>
                </c:pt>
                <c:pt idx="5">
                  <c:v>2.2614000000000001</c:v>
                </c:pt>
                <c:pt idx="6">
                  <c:v>9.7171689999999984</c:v>
                </c:pt>
                <c:pt idx="7">
                  <c:v>2.7652000000000001</c:v>
                </c:pt>
                <c:pt idx="8">
                  <c:v>6.3190400000000002</c:v>
                </c:pt>
                <c:pt idx="9">
                  <c:v>8.5177400000000034</c:v>
                </c:pt>
                <c:pt idx="10">
                  <c:v>3.0798909999999977</c:v>
                </c:pt>
                <c:pt idx="11">
                  <c:v>4.8575699999999955</c:v>
                </c:pt>
                <c:pt idx="12">
                  <c:v>3.6916100000000003</c:v>
                </c:pt>
                <c:pt idx="13">
                  <c:v>12.02562</c:v>
                </c:pt>
                <c:pt idx="14">
                  <c:v>31.538250000000001</c:v>
                </c:pt>
                <c:pt idx="15">
                  <c:v>3.8314699999999617</c:v>
                </c:pt>
                <c:pt idx="16">
                  <c:v>20.276009999999989</c:v>
                </c:pt>
                <c:pt idx="17">
                  <c:v>21.350950000000221</c:v>
                </c:pt>
                <c:pt idx="18">
                  <c:v>12.321680000000002</c:v>
                </c:pt>
                <c:pt idx="19">
                  <c:v>9.9143799999999995</c:v>
                </c:pt>
                <c:pt idx="20">
                  <c:v>4.9371299999999998</c:v>
                </c:pt>
                <c:pt idx="21">
                  <c:v>9.6431499999999986</c:v>
                </c:pt>
                <c:pt idx="22">
                  <c:v>11.21205</c:v>
                </c:pt>
                <c:pt idx="23">
                  <c:v>4.0829599999999955</c:v>
                </c:pt>
                <c:pt idx="24">
                  <c:v>7.53416</c:v>
                </c:pt>
                <c:pt idx="25">
                  <c:v>13.922730000000024</c:v>
                </c:pt>
                <c:pt idx="26">
                  <c:v>3.71102</c:v>
                </c:pt>
                <c:pt idx="27">
                  <c:v>12.709722999999999</c:v>
                </c:pt>
                <c:pt idx="28">
                  <c:v>5.0510000000000002</c:v>
                </c:pt>
                <c:pt idx="29">
                  <c:v>6.2895200000000004</c:v>
                </c:pt>
                <c:pt idx="30">
                  <c:v>6.7948900000000005</c:v>
                </c:pt>
                <c:pt idx="31">
                  <c:v>7.2889099999999996</c:v>
                </c:pt>
              </c:numCache>
            </c:numRef>
          </c:val>
        </c:ser>
        <c:gapWidth val="30"/>
        <c:overlap val="100"/>
        <c:axId val="89446656"/>
        <c:axId val="89457024"/>
      </c:barChart>
      <c:lineChart>
        <c:grouping val="standard"/>
        <c:ser>
          <c:idx val="2"/>
          <c:order val="2"/>
          <c:tx>
            <c:strRef>
              <c:f>g3.1!$G$48</c:f>
              <c:strCache>
                <c:ptCount val="1"/>
                <c:pt idx="0">
                  <c:v>COBERTURA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g3.1!$D$49:$D$80</c:f>
              <c:strCache>
                <c:ptCount val="32"/>
                <c:pt idx="0">
                  <c:v>Chihuahua</c:v>
                </c:pt>
                <c:pt idx="1">
                  <c:v>México</c:v>
                </c:pt>
                <c:pt idx="2">
                  <c:v>Tabasco</c:v>
                </c:pt>
                <c:pt idx="3">
                  <c:v>Campeche</c:v>
                </c:pt>
                <c:pt idx="4">
                  <c:v>Tamaulipas</c:v>
                </c:pt>
                <c:pt idx="5">
                  <c:v>Tlaxcala</c:v>
                </c:pt>
                <c:pt idx="6">
                  <c:v>Puebla</c:v>
                </c:pt>
                <c:pt idx="7">
                  <c:v>Baja California Sur</c:v>
                </c:pt>
                <c:pt idx="8">
                  <c:v>Zacatecas</c:v>
                </c:pt>
                <c:pt idx="9">
                  <c:v>Baja California</c:v>
                </c:pt>
                <c:pt idx="10">
                  <c:v>Nayarit</c:v>
                </c:pt>
                <c:pt idx="11">
                  <c:v>Oaxaca</c:v>
                </c:pt>
                <c:pt idx="12">
                  <c:v>Colima</c:v>
                </c:pt>
                <c:pt idx="13">
                  <c:v>Sonora </c:v>
                </c:pt>
                <c:pt idx="14">
                  <c:v>Distrito Federal</c:v>
                </c:pt>
                <c:pt idx="15">
                  <c:v>Quintana Roo</c:v>
                </c:pt>
                <c:pt idx="16">
                  <c:v>Jalisco</c:v>
                </c:pt>
                <c:pt idx="17">
                  <c:v>Veracruz de Ignacio de la Llave</c:v>
                </c:pt>
                <c:pt idx="18">
                  <c:v>Nuevo León</c:v>
                </c:pt>
                <c:pt idx="19">
                  <c:v>Sinaloa</c:v>
                </c:pt>
                <c:pt idx="20">
                  <c:v>Querétaro de Arteaga</c:v>
                </c:pt>
                <c:pt idx="21">
                  <c:v>Morelos</c:v>
                </c:pt>
                <c:pt idx="22">
                  <c:v>Coahuila de Zaragoza</c:v>
                </c:pt>
                <c:pt idx="23">
                  <c:v>Hidalgo</c:v>
                </c:pt>
                <c:pt idx="24">
                  <c:v>Durango</c:v>
                </c:pt>
                <c:pt idx="25">
                  <c:v>Michoacán de Ocampo</c:v>
                </c:pt>
                <c:pt idx="26">
                  <c:v>Aguascalientes</c:v>
                </c:pt>
                <c:pt idx="27">
                  <c:v>Guanajuato</c:v>
                </c:pt>
                <c:pt idx="28">
                  <c:v>San Luis Potosí</c:v>
                </c:pt>
                <c:pt idx="29">
                  <c:v>Yucatán</c:v>
                </c:pt>
                <c:pt idx="30">
                  <c:v>Guerrero</c:v>
                </c:pt>
                <c:pt idx="31">
                  <c:v>Chiapas</c:v>
                </c:pt>
              </c:strCache>
            </c:strRef>
          </c:cat>
          <c:val>
            <c:numRef>
              <c:f>g3.1!$G$49:$G$80</c:f>
              <c:numCache>
                <c:formatCode>_-* #,##0.00_-;\-* #,##0.00_-;_-* "-"??_-;_-@_-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99.902314963976494</c:v>
                </c:pt>
                <c:pt idx="4">
                  <c:v>99.651109023651358</c:v>
                </c:pt>
                <c:pt idx="5">
                  <c:v>99.129863013697786</c:v>
                </c:pt>
                <c:pt idx="6">
                  <c:v>98.923627441998775</c:v>
                </c:pt>
                <c:pt idx="7">
                  <c:v>98.752557916952625</c:v>
                </c:pt>
                <c:pt idx="8">
                  <c:v>98.711247606044793</c:v>
                </c:pt>
                <c:pt idx="9">
                  <c:v>98.710626955614927</c:v>
                </c:pt>
                <c:pt idx="10">
                  <c:v>98.61040850487241</c:v>
                </c:pt>
                <c:pt idx="11">
                  <c:v>98.540026047055093</c:v>
                </c:pt>
                <c:pt idx="12">
                  <c:v>98.418263155369928</c:v>
                </c:pt>
                <c:pt idx="13">
                  <c:v>98.319779120980158</c:v>
                </c:pt>
                <c:pt idx="14">
                  <c:v>98.286742707552804</c:v>
                </c:pt>
                <c:pt idx="15">
                  <c:v>98.060277534640619</c:v>
                </c:pt>
                <c:pt idx="16">
                  <c:v>97.982014152778788</c:v>
                </c:pt>
                <c:pt idx="17">
                  <c:v>97.961167810337727</c:v>
                </c:pt>
                <c:pt idx="18">
                  <c:v>97.929611561749027</c:v>
                </c:pt>
                <c:pt idx="19">
                  <c:v>97.819519347079236</c:v>
                </c:pt>
                <c:pt idx="20">
                  <c:v>97.780246810887249</c:v>
                </c:pt>
                <c:pt idx="21">
                  <c:v>97.001871001487814</c:v>
                </c:pt>
                <c:pt idx="22">
                  <c:v>96.236229190896566</c:v>
                </c:pt>
                <c:pt idx="23">
                  <c:v>95.414987988297909</c:v>
                </c:pt>
                <c:pt idx="24">
                  <c:v>95.093703299810727</c:v>
                </c:pt>
                <c:pt idx="25">
                  <c:v>94.821848881429617</c:v>
                </c:pt>
                <c:pt idx="26">
                  <c:v>94.680471078089923</c:v>
                </c:pt>
                <c:pt idx="27">
                  <c:v>92.844804153460089</c:v>
                </c:pt>
                <c:pt idx="28">
                  <c:v>92.34003656307128</c:v>
                </c:pt>
                <c:pt idx="29">
                  <c:v>91.322137652855105</c:v>
                </c:pt>
                <c:pt idx="30">
                  <c:v>88.224815270216425</c:v>
                </c:pt>
                <c:pt idx="31">
                  <c:v>83.137169468926956</c:v>
                </c:pt>
              </c:numCache>
            </c:numRef>
          </c:val>
        </c:ser>
        <c:marker val="1"/>
        <c:axId val="89458560"/>
        <c:axId val="89460096"/>
      </c:lineChart>
      <c:catAx>
        <c:axId val="8944665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Presidencia Base" pitchFamily="50" charset="0"/>
                <a:ea typeface="Arial"/>
                <a:cs typeface="Arial"/>
              </a:defRPr>
            </a:pPr>
            <a:endParaRPr lang="es-MX"/>
          </a:p>
        </c:txPr>
        <c:crossAx val="89457024"/>
        <c:crosses val="autoZero"/>
        <c:lblAlgn val="ctr"/>
        <c:lblOffset val="100"/>
        <c:tickLblSkip val="1"/>
        <c:tickMarkSkip val="1"/>
      </c:catAx>
      <c:valAx>
        <c:axId val="8945702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Presidencia Firme" pitchFamily="50" charset="0"/>
                <a:ea typeface="Arial"/>
                <a:cs typeface="Arial"/>
              </a:defRPr>
            </a:pPr>
            <a:endParaRPr lang="es-MX"/>
          </a:p>
        </c:txPr>
        <c:crossAx val="89446656"/>
        <c:crosses val="autoZero"/>
        <c:crossBetween val="between"/>
        <c:majorUnit val="5"/>
        <c:minorUnit val="5"/>
      </c:valAx>
      <c:catAx>
        <c:axId val="89458560"/>
        <c:scaling>
          <c:orientation val="minMax"/>
        </c:scaling>
        <c:delete val="1"/>
        <c:axPos val="b"/>
        <c:numFmt formatCode="General" sourceLinked="1"/>
        <c:tickLblPos val="none"/>
        <c:crossAx val="89460096"/>
        <c:crosses val="autoZero"/>
        <c:lblAlgn val="ctr"/>
        <c:lblOffset val="100"/>
      </c:catAx>
      <c:valAx>
        <c:axId val="89460096"/>
        <c:scaling>
          <c:orientation val="minMax"/>
          <c:max val="100"/>
          <c:min val="80"/>
        </c:scaling>
        <c:axPos val="r"/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FF"/>
                </a:solidFill>
                <a:latin typeface="Presidencia Firme" pitchFamily="50" charset="0"/>
                <a:ea typeface="Arial"/>
                <a:cs typeface="Arial"/>
              </a:defRPr>
            </a:pPr>
            <a:endParaRPr lang="es-MX"/>
          </a:p>
        </c:txPr>
        <c:crossAx val="89458560"/>
        <c:crosses val="max"/>
        <c:crossBetween val="between"/>
        <c:majorUnit val="2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3023741374848066"/>
          <c:y val="0.90956196079134644"/>
          <c:w val="0.45452839647051752"/>
          <c:h val="6.753511271476504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Presidencia Firme" pitchFamily="50" charset="0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0.98425196850393659" l="0.74803149606299513" r="0.74803149606299513" t="0.98425196850393659" header="0.51181102362204722" footer="0.51181102362204722"/>
    <c:pageSetup paperSize="11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9.3434181788137755E-2"/>
          <c:y val="3.3450732981277681E-2"/>
          <c:w val="0.81810420143111895"/>
          <c:h val="0.65316957558181399"/>
        </c:manualLayout>
      </c:layout>
      <c:barChart>
        <c:barDir val="col"/>
        <c:grouping val="clustered"/>
        <c:ser>
          <c:idx val="1"/>
          <c:order val="0"/>
          <c:tx>
            <c:strRef>
              <c:f>[5]datos3.5!$C$3</c:f>
              <c:strCache>
                <c:ptCount val="1"/>
                <c:pt idx="0">
                  <c:v>SUMINISTRADO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[5]datos3.5!$B$4:$B$35</c:f>
              <c:strCache>
                <c:ptCount val="32"/>
                <c:pt idx="0">
                  <c:v>Chihuahua</c:v>
                </c:pt>
                <c:pt idx="1">
                  <c:v>Tabasco</c:v>
                </c:pt>
                <c:pt idx="2">
                  <c:v>Campeche</c:v>
                </c:pt>
                <c:pt idx="3">
                  <c:v>Colima</c:v>
                </c:pt>
                <c:pt idx="4">
                  <c:v>México</c:v>
                </c:pt>
                <c:pt idx="5">
                  <c:v>Nayarit</c:v>
                </c:pt>
                <c:pt idx="6">
                  <c:v>Baja California</c:v>
                </c:pt>
                <c:pt idx="7">
                  <c:v>Tlaxcala</c:v>
                </c:pt>
                <c:pt idx="8">
                  <c:v>Baja California Sur</c:v>
                </c:pt>
                <c:pt idx="9">
                  <c:v>Tamaulipas</c:v>
                </c:pt>
                <c:pt idx="10">
                  <c:v>Zacatecas</c:v>
                </c:pt>
                <c:pt idx="11">
                  <c:v>Quintana Roo</c:v>
                </c:pt>
                <c:pt idx="12">
                  <c:v>Puebla</c:v>
                </c:pt>
                <c:pt idx="13">
                  <c:v>Veracruz de Ignacio de la Llave</c:v>
                </c:pt>
                <c:pt idx="14">
                  <c:v>Nuevo León</c:v>
                </c:pt>
                <c:pt idx="15">
                  <c:v>Sinaloa</c:v>
                </c:pt>
                <c:pt idx="16">
                  <c:v>Querétaro de Arteaga</c:v>
                </c:pt>
                <c:pt idx="17">
                  <c:v>Jalisco</c:v>
                </c:pt>
                <c:pt idx="18">
                  <c:v>Sonora </c:v>
                </c:pt>
                <c:pt idx="19">
                  <c:v>Morelos</c:v>
                </c:pt>
                <c:pt idx="20">
                  <c:v>Distrito Federal</c:v>
                </c:pt>
                <c:pt idx="21">
                  <c:v>Hidalgo</c:v>
                </c:pt>
                <c:pt idx="22">
                  <c:v>Aguascalientes</c:v>
                </c:pt>
                <c:pt idx="23">
                  <c:v>Durango</c:v>
                </c:pt>
                <c:pt idx="24">
                  <c:v>Oaxaca</c:v>
                </c:pt>
                <c:pt idx="25">
                  <c:v>Guanajuato</c:v>
                </c:pt>
                <c:pt idx="26">
                  <c:v>Coahuila de Zaragoza</c:v>
                </c:pt>
                <c:pt idx="27">
                  <c:v>Yucatán</c:v>
                </c:pt>
                <c:pt idx="28">
                  <c:v>San Luis Potosí</c:v>
                </c:pt>
                <c:pt idx="29">
                  <c:v>Michoacán de Ocampo</c:v>
                </c:pt>
                <c:pt idx="30">
                  <c:v>Chiapas</c:v>
                </c:pt>
                <c:pt idx="31">
                  <c:v>Guerrero</c:v>
                </c:pt>
              </c:strCache>
            </c:strRef>
          </c:cat>
          <c:val>
            <c:numRef>
              <c:f>[5]datos3.5!$C$4:$C$35</c:f>
              <c:numCache>
                <c:formatCode>General</c:formatCode>
                <c:ptCount val="32"/>
                <c:pt idx="0">
                  <c:v>13.215</c:v>
                </c:pt>
                <c:pt idx="1">
                  <c:v>10.420999999999999</c:v>
                </c:pt>
                <c:pt idx="2">
                  <c:v>2.91656</c:v>
                </c:pt>
                <c:pt idx="3">
                  <c:v>3.6518800000000002</c:v>
                </c:pt>
                <c:pt idx="4">
                  <c:v>37.427999999999997</c:v>
                </c:pt>
                <c:pt idx="5">
                  <c:v>3.1232899999999999</c:v>
                </c:pt>
                <c:pt idx="6">
                  <c:v>8.9311799999999995</c:v>
                </c:pt>
                <c:pt idx="7">
                  <c:v>2.3405999999999998</c:v>
                </c:pt>
                <c:pt idx="8">
                  <c:v>2.8001199999999997</c:v>
                </c:pt>
                <c:pt idx="9">
                  <c:v>11.700239999999999</c:v>
                </c:pt>
                <c:pt idx="10">
                  <c:v>6.3497399999999997</c:v>
                </c:pt>
                <c:pt idx="11">
                  <c:v>3.9072600000000004</c:v>
                </c:pt>
                <c:pt idx="12">
                  <c:v>9.8179500000000015</c:v>
                </c:pt>
                <c:pt idx="13">
                  <c:v>21.79532</c:v>
                </c:pt>
                <c:pt idx="14">
                  <c:v>12.289309999999999</c:v>
                </c:pt>
                <c:pt idx="15">
                  <c:v>10.13538</c:v>
                </c:pt>
                <c:pt idx="16">
                  <c:v>5.0492100000000004</c:v>
                </c:pt>
                <c:pt idx="17">
                  <c:v>20.83849</c:v>
                </c:pt>
                <c:pt idx="18">
                  <c:v>12.9559</c:v>
                </c:pt>
                <c:pt idx="19">
                  <c:v>9.9412000000000003</c:v>
                </c:pt>
                <c:pt idx="20">
                  <c:v>33.463120000000004</c:v>
                </c:pt>
                <c:pt idx="21">
                  <c:v>4.3039799999999993</c:v>
                </c:pt>
                <c:pt idx="22">
                  <c:v>3.9316999999999998</c:v>
                </c:pt>
                <c:pt idx="23">
                  <c:v>7.5883599999999998</c:v>
                </c:pt>
                <c:pt idx="24">
                  <c:v>4.8929999999999998</c:v>
                </c:pt>
                <c:pt idx="25">
                  <c:v>13.689</c:v>
                </c:pt>
                <c:pt idx="26">
                  <c:v>11.15564</c:v>
                </c:pt>
                <c:pt idx="27">
                  <c:v>6.5932399999999998</c:v>
                </c:pt>
                <c:pt idx="28">
                  <c:v>5.4587599999999998</c:v>
                </c:pt>
                <c:pt idx="29">
                  <c:v>14.680969999999999</c:v>
                </c:pt>
                <c:pt idx="30">
                  <c:v>5.26</c:v>
                </c:pt>
                <c:pt idx="31">
                  <c:v>7.6173400000000004</c:v>
                </c:pt>
              </c:numCache>
            </c:numRef>
          </c:val>
        </c:ser>
        <c:ser>
          <c:idx val="0"/>
          <c:order val="1"/>
          <c:tx>
            <c:strRef>
              <c:f>[5]datos3.5!$D$3</c:f>
              <c:strCache>
                <c:ptCount val="1"/>
                <c:pt idx="0">
                  <c:v>CLORADO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[5]datos3.5!$B$4:$B$35</c:f>
              <c:strCache>
                <c:ptCount val="32"/>
                <c:pt idx="0">
                  <c:v>Chihuahua</c:v>
                </c:pt>
                <c:pt idx="1">
                  <c:v>Tabasco</c:v>
                </c:pt>
                <c:pt idx="2">
                  <c:v>Campeche</c:v>
                </c:pt>
                <c:pt idx="3">
                  <c:v>Colima</c:v>
                </c:pt>
                <c:pt idx="4">
                  <c:v>México</c:v>
                </c:pt>
                <c:pt idx="5">
                  <c:v>Nayarit</c:v>
                </c:pt>
                <c:pt idx="6">
                  <c:v>Baja California</c:v>
                </c:pt>
                <c:pt idx="7">
                  <c:v>Tlaxcala</c:v>
                </c:pt>
                <c:pt idx="8">
                  <c:v>Baja California Sur</c:v>
                </c:pt>
                <c:pt idx="9">
                  <c:v>Tamaulipas</c:v>
                </c:pt>
                <c:pt idx="10">
                  <c:v>Zacatecas</c:v>
                </c:pt>
                <c:pt idx="11">
                  <c:v>Quintana Roo</c:v>
                </c:pt>
                <c:pt idx="12">
                  <c:v>Puebla</c:v>
                </c:pt>
                <c:pt idx="13">
                  <c:v>Veracruz de Ignacio de la Llave</c:v>
                </c:pt>
                <c:pt idx="14">
                  <c:v>Nuevo León</c:v>
                </c:pt>
                <c:pt idx="15">
                  <c:v>Sinaloa</c:v>
                </c:pt>
                <c:pt idx="16">
                  <c:v>Querétaro de Arteaga</c:v>
                </c:pt>
                <c:pt idx="17">
                  <c:v>Jalisco</c:v>
                </c:pt>
                <c:pt idx="18">
                  <c:v>Sonora </c:v>
                </c:pt>
                <c:pt idx="19">
                  <c:v>Morelos</c:v>
                </c:pt>
                <c:pt idx="20">
                  <c:v>Distrito Federal</c:v>
                </c:pt>
                <c:pt idx="21">
                  <c:v>Hidalgo</c:v>
                </c:pt>
                <c:pt idx="22">
                  <c:v>Aguascalientes</c:v>
                </c:pt>
                <c:pt idx="23">
                  <c:v>Durango</c:v>
                </c:pt>
                <c:pt idx="24">
                  <c:v>Oaxaca</c:v>
                </c:pt>
                <c:pt idx="25">
                  <c:v>Guanajuato</c:v>
                </c:pt>
                <c:pt idx="26">
                  <c:v>Coahuila de Zaragoza</c:v>
                </c:pt>
                <c:pt idx="27">
                  <c:v>Yucatán</c:v>
                </c:pt>
                <c:pt idx="28">
                  <c:v>San Luis Potosí</c:v>
                </c:pt>
                <c:pt idx="29">
                  <c:v>Michoacán de Ocampo</c:v>
                </c:pt>
                <c:pt idx="30">
                  <c:v>Chiapas</c:v>
                </c:pt>
                <c:pt idx="31">
                  <c:v>Guerrero</c:v>
                </c:pt>
              </c:strCache>
            </c:strRef>
          </c:cat>
          <c:val>
            <c:numRef>
              <c:f>[5]datos3.5!$D$4:$D$35</c:f>
              <c:numCache>
                <c:formatCode>General</c:formatCode>
                <c:ptCount val="32"/>
                <c:pt idx="0">
                  <c:v>13.215</c:v>
                </c:pt>
                <c:pt idx="1">
                  <c:v>10.420999999999999</c:v>
                </c:pt>
                <c:pt idx="2">
                  <c:v>2.91371</c:v>
                </c:pt>
                <c:pt idx="3">
                  <c:v>3.6478800000000002</c:v>
                </c:pt>
                <c:pt idx="4">
                  <c:v>37.179000000000002</c:v>
                </c:pt>
                <c:pt idx="5">
                  <c:v>3.0980599999999998</c:v>
                </c:pt>
                <c:pt idx="6">
                  <c:v>8.8585700000000003</c:v>
                </c:pt>
                <c:pt idx="7">
                  <c:v>2.3143099999999999</c:v>
                </c:pt>
                <c:pt idx="8">
                  <c:v>2.76519</c:v>
                </c:pt>
                <c:pt idx="9">
                  <c:v>11.530419999999999</c:v>
                </c:pt>
                <c:pt idx="10">
                  <c:v>6.2426400000000006</c:v>
                </c:pt>
                <c:pt idx="11">
                  <c:v>3.8314699999999999</c:v>
                </c:pt>
                <c:pt idx="12">
                  <c:v>9.6197900000000001</c:v>
                </c:pt>
                <c:pt idx="13">
                  <c:v>21.34815</c:v>
                </c:pt>
                <c:pt idx="14">
                  <c:v>12.02491</c:v>
                </c:pt>
                <c:pt idx="15">
                  <c:v>9.9143799999999995</c:v>
                </c:pt>
                <c:pt idx="16">
                  <c:v>4.9371299999999998</c:v>
                </c:pt>
                <c:pt idx="17">
                  <c:v>20.296060000000001</c:v>
                </c:pt>
                <c:pt idx="18">
                  <c:v>12.588700000000001</c:v>
                </c:pt>
                <c:pt idx="19">
                  <c:v>9.6431100000000001</c:v>
                </c:pt>
                <c:pt idx="20">
                  <c:v>32.269100000000002</c:v>
                </c:pt>
                <c:pt idx="21">
                  <c:v>4.0995400000000002</c:v>
                </c:pt>
                <c:pt idx="22">
                  <c:v>3.72139</c:v>
                </c:pt>
                <c:pt idx="23">
                  <c:v>7.1788999999999996</c:v>
                </c:pt>
                <c:pt idx="24">
                  <c:v>4.6239999999999997</c:v>
                </c:pt>
                <c:pt idx="25">
                  <c:v>12.70951</c:v>
                </c:pt>
                <c:pt idx="26">
                  <c:v>10.35685</c:v>
                </c:pt>
                <c:pt idx="27">
                  <c:v>6.1187399999999998</c:v>
                </c:pt>
                <c:pt idx="28">
                  <c:v>5.0523299999999995</c:v>
                </c:pt>
                <c:pt idx="29">
                  <c:v>13.444240000000001</c:v>
                </c:pt>
                <c:pt idx="30">
                  <c:v>4.7300000000000004</c:v>
                </c:pt>
                <c:pt idx="31">
                  <c:v>6.7006600000000001</c:v>
                </c:pt>
              </c:numCache>
            </c:numRef>
          </c:val>
        </c:ser>
        <c:gapWidth val="30"/>
        <c:overlap val="100"/>
        <c:axId val="89757184"/>
        <c:axId val="89759104"/>
      </c:barChart>
      <c:lineChart>
        <c:grouping val="standard"/>
        <c:ser>
          <c:idx val="2"/>
          <c:order val="2"/>
          <c:tx>
            <c:strRef>
              <c:f>[5]datos3.5!$E$3</c:f>
              <c:strCache>
                <c:ptCount val="1"/>
                <c:pt idx="0">
                  <c:v>COBERTURA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[5]datos3.5!$B$4:$B$35</c:f>
              <c:strCache>
                <c:ptCount val="32"/>
                <c:pt idx="0">
                  <c:v>Chihuahua</c:v>
                </c:pt>
                <c:pt idx="1">
                  <c:v>Tabasco</c:v>
                </c:pt>
                <c:pt idx="2">
                  <c:v>Campeche</c:v>
                </c:pt>
                <c:pt idx="3">
                  <c:v>Colima</c:v>
                </c:pt>
                <c:pt idx="4">
                  <c:v>México</c:v>
                </c:pt>
                <c:pt idx="5">
                  <c:v>Nayarit</c:v>
                </c:pt>
                <c:pt idx="6">
                  <c:v>Baja California</c:v>
                </c:pt>
                <c:pt idx="7">
                  <c:v>Tlaxcala</c:v>
                </c:pt>
                <c:pt idx="8">
                  <c:v>Baja California Sur</c:v>
                </c:pt>
                <c:pt idx="9">
                  <c:v>Tamaulipas</c:v>
                </c:pt>
                <c:pt idx="10">
                  <c:v>Zacatecas</c:v>
                </c:pt>
                <c:pt idx="11">
                  <c:v>Quintana Roo</c:v>
                </c:pt>
                <c:pt idx="12">
                  <c:v>Puebla</c:v>
                </c:pt>
                <c:pt idx="13">
                  <c:v>Veracruz de Ignacio de la Llave</c:v>
                </c:pt>
                <c:pt idx="14">
                  <c:v>Nuevo León</c:v>
                </c:pt>
                <c:pt idx="15">
                  <c:v>Sinaloa</c:v>
                </c:pt>
                <c:pt idx="16">
                  <c:v>Querétaro de Arteaga</c:v>
                </c:pt>
                <c:pt idx="17">
                  <c:v>Jalisco</c:v>
                </c:pt>
                <c:pt idx="18">
                  <c:v>Sonora </c:v>
                </c:pt>
                <c:pt idx="19">
                  <c:v>Morelos</c:v>
                </c:pt>
                <c:pt idx="20">
                  <c:v>Distrito Federal</c:v>
                </c:pt>
                <c:pt idx="21">
                  <c:v>Hidalgo</c:v>
                </c:pt>
                <c:pt idx="22">
                  <c:v>Aguascalientes</c:v>
                </c:pt>
                <c:pt idx="23">
                  <c:v>Durango</c:v>
                </c:pt>
                <c:pt idx="24">
                  <c:v>Oaxaca</c:v>
                </c:pt>
                <c:pt idx="25">
                  <c:v>Guanajuato</c:v>
                </c:pt>
                <c:pt idx="26">
                  <c:v>Coahuila de Zaragoza</c:v>
                </c:pt>
                <c:pt idx="27">
                  <c:v>Yucatán</c:v>
                </c:pt>
                <c:pt idx="28">
                  <c:v>San Luis Potosí</c:v>
                </c:pt>
                <c:pt idx="29">
                  <c:v>Michoacán de Ocampo</c:v>
                </c:pt>
                <c:pt idx="30">
                  <c:v>Chiapas</c:v>
                </c:pt>
                <c:pt idx="31">
                  <c:v>Guerrero</c:v>
                </c:pt>
              </c:strCache>
            </c:strRef>
          </c:cat>
          <c:val>
            <c:numRef>
              <c:f>[5]datos3.5!$E$4:$E$35</c:f>
              <c:numCache>
                <c:formatCode>General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99.902282140604001</c:v>
                </c:pt>
                <c:pt idx="3">
                  <c:v>99.890467375707857</c:v>
                </c:pt>
                <c:pt idx="4">
                  <c:v>99.334722667521646</c:v>
                </c:pt>
                <c:pt idx="5">
                  <c:v>99.19219797072958</c:v>
                </c:pt>
                <c:pt idx="6">
                  <c:v>99.18700552446596</c:v>
                </c:pt>
                <c:pt idx="7">
                  <c:v>98.876783730667356</c:v>
                </c:pt>
                <c:pt idx="8">
                  <c:v>98.752553461994495</c:v>
                </c:pt>
                <c:pt idx="9">
                  <c:v>98.548576781330993</c:v>
                </c:pt>
                <c:pt idx="10">
                  <c:v>98.313316765725844</c:v>
                </c:pt>
                <c:pt idx="11">
                  <c:v>98.060277534640633</c:v>
                </c:pt>
                <c:pt idx="12">
                  <c:v>97.981656048360406</c:v>
                </c:pt>
                <c:pt idx="13">
                  <c:v>97.948321015704295</c:v>
                </c:pt>
                <c:pt idx="14">
                  <c:v>97.848536655027829</c:v>
                </c:pt>
                <c:pt idx="15">
                  <c:v>97.819519347079236</c:v>
                </c:pt>
                <c:pt idx="16">
                  <c:v>97.780246810887249</c:v>
                </c:pt>
                <c:pt idx="17">
                  <c:v>97.396980299436279</c:v>
                </c:pt>
                <c:pt idx="18">
                  <c:v>97.165770035273511</c:v>
                </c:pt>
                <c:pt idx="19">
                  <c:v>97.001468635577197</c:v>
                </c:pt>
                <c:pt idx="20">
                  <c:v>96.431833014972895</c:v>
                </c:pt>
                <c:pt idx="21">
                  <c:v>95.249977927406732</c:v>
                </c:pt>
                <c:pt idx="22">
                  <c:v>94.650914362743848</c:v>
                </c:pt>
                <c:pt idx="23">
                  <c:v>94.604104180613461</c:v>
                </c:pt>
                <c:pt idx="24">
                  <c:v>94.502350296341703</c:v>
                </c:pt>
                <c:pt idx="25">
                  <c:v>92.844692819051801</c:v>
                </c:pt>
                <c:pt idx="26">
                  <c:v>92.839586074846466</c:v>
                </c:pt>
                <c:pt idx="27">
                  <c:v>92.803234828399994</c:v>
                </c:pt>
                <c:pt idx="28">
                  <c:v>92.554536195033293</c:v>
                </c:pt>
                <c:pt idx="29">
                  <c:v>91.575965348338713</c:v>
                </c:pt>
                <c:pt idx="30">
                  <c:v>89.923954372623569</c:v>
                </c:pt>
                <c:pt idx="31">
                  <c:v>87.965877852373666</c:v>
                </c:pt>
              </c:numCache>
            </c:numRef>
          </c:val>
        </c:ser>
        <c:marker val="1"/>
        <c:axId val="89764992"/>
        <c:axId val="89766528"/>
      </c:lineChart>
      <c:catAx>
        <c:axId val="8975718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9759104"/>
        <c:crosses val="autoZero"/>
        <c:lblAlgn val="ctr"/>
        <c:lblOffset val="100"/>
        <c:tickLblSkip val="1"/>
        <c:tickMarkSkip val="1"/>
      </c:catAx>
      <c:valAx>
        <c:axId val="8975910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9757184"/>
        <c:crosses val="autoZero"/>
        <c:crossBetween val="between"/>
        <c:majorUnit val="5"/>
        <c:minorUnit val="5"/>
      </c:valAx>
      <c:catAx>
        <c:axId val="89764992"/>
        <c:scaling>
          <c:orientation val="minMax"/>
        </c:scaling>
        <c:delete val="1"/>
        <c:axPos val="b"/>
        <c:tickLblPos val="none"/>
        <c:crossAx val="89766528"/>
        <c:crosses val="autoZero"/>
        <c:lblAlgn val="ctr"/>
        <c:lblOffset val="100"/>
      </c:catAx>
      <c:valAx>
        <c:axId val="89766528"/>
        <c:scaling>
          <c:orientation val="minMax"/>
          <c:max val="100"/>
        </c:scaling>
        <c:axPos val="r"/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9764992"/>
        <c:crosses val="max"/>
        <c:crossBetween val="between"/>
        <c:majorUnit val="2"/>
        <c:minorUnit val="1"/>
      </c:valAx>
    </c:plotArea>
    <c:legend>
      <c:legendPos val="r"/>
      <c:layout>
        <c:manualLayout>
          <c:xMode val="edge"/>
          <c:yMode val="edge"/>
          <c:x val="0.25480769230770506"/>
          <c:y val="0.9225359506118076"/>
          <c:w val="0.59406324239064656"/>
          <c:h val="5.633802816901410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28575">
      <a:solidFill>
        <a:schemeClr val="accent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12277371144503471"/>
          <c:y val="7.496037875648319E-2"/>
          <c:w val="0.70510369656153393"/>
          <c:h val="0.69626265282654987"/>
        </c:manualLayout>
      </c:layout>
      <c:lineChart>
        <c:grouping val="standard"/>
        <c:ser>
          <c:idx val="1"/>
          <c:order val="0"/>
          <c:tx>
            <c:strRef>
              <c:f>' g3.2'!$B$3</c:f>
              <c:strCache>
                <c:ptCount val="1"/>
                <c:pt idx="0">
                  <c:v>Cobertura de Desinfección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 w="28575">
                <a:solidFill>
                  <a:srgbClr val="0070C0"/>
                </a:solidFill>
                <a:prstDash val="solid"/>
              </a:ln>
            </c:spPr>
          </c:marker>
          <c:cat>
            <c:numRef>
              <c:f>' g3.2'!$F$2:$O$2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 g3.2'!$F$3:$O$3</c:f>
              <c:numCache>
                <c:formatCode>_-* #,##0.00_-;\-* #,##0.00_-;_-* "-"??_-;_-@_-</c:formatCode>
                <c:ptCount val="10"/>
                <c:pt idx="0">
                  <c:v>94.3</c:v>
                </c:pt>
                <c:pt idx="1">
                  <c:v>95.8</c:v>
                </c:pt>
                <c:pt idx="2">
                  <c:v>94.6</c:v>
                </c:pt>
                <c:pt idx="3">
                  <c:v>95.4</c:v>
                </c:pt>
                <c:pt idx="4">
                  <c:v>95.9</c:v>
                </c:pt>
                <c:pt idx="5">
                  <c:v>95.9</c:v>
                </c:pt>
                <c:pt idx="6">
                  <c:v>96</c:v>
                </c:pt>
                <c:pt idx="7">
                  <c:v>96.2</c:v>
                </c:pt>
                <c:pt idx="8">
                  <c:v>96.7</c:v>
                </c:pt>
                <c:pt idx="9">
                  <c:v>97.1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 g3.2'!$B$4</c:f>
              <c:strCache>
                <c:ptCount val="1"/>
                <c:pt idx="0">
                  <c:v>Eficiencia de Desinfección</c:v>
                </c:pt>
              </c:strCache>
            </c:strRef>
          </c:tx>
          <c:spPr>
            <a:ln w="28575">
              <a:solidFill>
                <a:srgbClr val="00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9900"/>
              </a:solidFill>
              <a:ln w="28575">
                <a:solidFill>
                  <a:srgbClr val="009900"/>
                </a:solidFill>
                <a:prstDash val="solid"/>
              </a:ln>
            </c:spPr>
          </c:marker>
          <c:cat>
            <c:numRef>
              <c:f>' g3.2'!$F$2:$O$2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 g3.2'!$F$4:$O$4</c:f>
              <c:numCache>
                <c:formatCode>_-* #,##0.00_-;\-* #,##0.00_-;_-* "-"??_-;_-@_-</c:formatCode>
                <c:ptCount val="10"/>
                <c:pt idx="0">
                  <c:v>80.53</c:v>
                </c:pt>
                <c:pt idx="1">
                  <c:v>81.819999999999993</c:v>
                </c:pt>
                <c:pt idx="2">
                  <c:v>82.56</c:v>
                </c:pt>
                <c:pt idx="3">
                  <c:v>86.47</c:v>
                </c:pt>
                <c:pt idx="4">
                  <c:v>89.02</c:v>
                </c:pt>
                <c:pt idx="5">
                  <c:v>90.19</c:v>
                </c:pt>
                <c:pt idx="6">
                  <c:v>91.2</c:v>
                </c:pt>
                <c:pt idx="7">
                  <c:v>91.2</c:v>
                </c:pt>
                <c:pt idx="8">
                  <c:v>92.1</c:v>
                </c:pt>
                <c:pt idx="9">
                  <c:v>90.7</c:v>
                </c:pt>
              </c:numCache>
            </c:numRef>
          </c:val>
          <c:smooth val="1"/>
        </c:ser>
        <c:marker val="1"/>
        <c:axId val="90441984"/>
        <c:axId val="90460544"/>
      </c:lineChart>
      <c:lineChart>
        <c:grouping val="standard"/>
        <c:ser>
          <c:idx val="2"/>
          <c:order val="2"/>
          <c:tx>
            <c:strRef>
              <c:f>' g3.2'!$B$5</c:f>
              <c:strCache>
                <c:ptCount val="1"/>
                <c:pt idx="0">
                  <c:v>Enfermedades Infecciosas Intestinales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FF0000"/>
              </a:solidFill>
              <a:ln w="28575">
                <a:solidFill>
                  <a:srgbClr val="FF0000"/>
                </a:solidFill>
                <a:prstDash val="solid"/>
              </a:ln>
            </c:spPr>
          </c:marker>
          <c:cat>
            <c:numRef>
              <c:f>' g3.2'!$F$2:$O$2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 g3.2'!$F$5:$O$5</c:f>
              <c:numCache>
                <c:formatCode>_-* #,##0.00_-;\-* #,##0.00_-;_-* "-"??_-;_-@_-</c:formatCode>
                <c:ptCount val="10"/>
                <c:pt idx="0">
                  <c:v>6.8910580000000001</c:v>
                </c:pt>
                <c:pt idx="1">
                  <c:v>6.908455</c:v>
                </c:pt>
                <c:pt idx="2">
                  <c:v>6.8316299999999996</c:v>
                </c:pt>
                <c:pt idx="3">
                  <c:v>6.1910109999999996</c:v>
                </c:pt>
                <c:pt idx="4">
                  <c:v>5.9518690000000003</c:v>
                </c:pt>
                <c:pt idx="5">
                  <c:v>5.9129519999999998</c:v>
                </c:pt>
                <c:pt idx="6">
                  <c:v>5.76</c:v>
                </c:pt>
                <c:pt idx="7">
                  <c:v>5.53</c:v>
                </c:pt>
                <c:pt idx="8">
                  <c:v>5.48</c:v>
                </c:pt>
                <c:pt idx="9">
                  <c:v>5.4939869999999997</c:v>
                </c:pt>
              </c:numCache>
            </c:numRef>
          </c:val>
          <c:smooth val="1"/>
        </c:ser>
        <c:marker val="1"/>
        <c:axId val="90462464"/>
        <c:axId val="90464256"/>
      </c:lineChart>
      <c:catAx>
        <c:axId val="9044198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FDC63D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Presidencia Base" pitchFamily="50" charset="0"/>
                <a:ea typeface="Arial"/>
                <a:cs typeface="Arial"/>
              </a:defRPr>
            </a:pPr>
            <a:endParaRPr lang="es-MX"/>
          </a:p>
        </c:txPr>
        <c:crossAx val="90460544"/>
        <c:crosses val="autoZero"/>
        <c:lblAlgn val="ctr"/>
        <c:lblOffset val="100"/>
        <c:tickLblSkip val="1"/>
        <c:tickMarkSkip val="1"/>
      </c:catAx>
      <c:valAx>
        <c:axId val="90460544"/>
        <c:scaling>
          <c:orientation val="minMax"/>
          <c:max val="100"/>
          <c:min val="80"/>
        </c:scaling>
        <c:axPos val="l"/>
        <c:title>
          <c:tx>
            <c:rich>
              <a:bodyPr rot="-5400000" vert="horz"/>
              <a:lstStyle/>
              <a:p>
                <a:pPr>
                  <a:defRPr sz="1200" b="0" i="0" u="none" strike="noStrike" baseline="0">
                    <a:solidFill>
                      <a:srgbClr val="0070C0"/>
                    </a:solidFill>
                    <a:latin typeface="Presidencia Base" pitchFamily="50" charset="0"/>
                    <a:ea typeface="Arial"/>
                    <a:cs typeface="Arial"/>
                  </a:defRPr>
                </a:pPr>
                <a:r>
                  <a:rPr lang="es-MX" sz="1200" b="0">
                    <a:solidFill>
                      <a:srgbClr val="0070C0"/>
                    </a:solidFill>
                    <a:latin typeface="Presidencia Base" pitchFamily="50" charset="0"/>
                  </a:rPr>
                  <a:t>% de Cobertura y Eficiencia </a:t>
                </a:r>
              </a:p>
            </c:rich>
          </c:tx>
          <c:layout>
            <c:manualLayout>
              <c:xMode val="edge"/>
              <c:yMode val="edge"/>
              <c:x val="2.8173012238012086E-2"/>
              <c:y val="0.24829609713420001"/>
            </c:manualLayout>
          </c:layout>
          <c:spPr>
            <a:ln w="25400">
              <a:noFill/>
            </a:ln>
          </c:spPr>
        </c:title>
        <c:numFmt formatCode="_-* #,##0_-;\-* #,##0_-;_-* &quot;-&quot;_-;_-@_-" sourceLinked="0"/>
        <c:majorTickMark val="cross"/>
        <c:tickLblPos val="nextTo"/>
        <c:spPr>
          <a:ln w="3175">
            <a:solidFill>
              <a:srgbClr val="FFC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70C0"/>
                </a:solidFill>
                <a:latin typeface="Presidencia Base" pitchFamily="50" charset="0"/>
                <a:ea typeface="Arial"/>
                <a:cs typeface="Arial"/>
              </a:defRPr>
            </a:pPr>
            <a:endParaRPr lang="es-MX"/>
          </a:p>
        </c:txPr>
        <c:crossAx val="90441984"/>
        <c:crosses val="autoZero"/>
        <c:crossBetween val="between"/>
        <c:majorUnit val="5"/>
      </c:valAx>
      <c:catAx>
        <c:axId val="90462464"/>
        <c:scaling>
          <c:orientation val="minMax"/>
        </c:scaling>
        <c:delete val="1"/>
        <c:axPos val="b"/>
        <c:numFmt formatCode="General" sourceLinked="1"/>
        <c:tickLblPos val="none"/>
        <c:crossAx val="90464256"/>
        <c:crossesAt val="5"/>
        <c:lblAlgn val="ctr"/>
        <c:lblOffset val="100"/>
      </c:catAx>
      <c:valAx>
        <c:axId val="90464256"/>
        <c:scaling>
          <c:orientation val="minMax"/>
          <c:max val="8"/>
          <c:min val="4"/>
        </c:scaling>
        <c:axPos val="r"/>
        <c:title>
          <c:tx>
            <c:rich>
              <a:bodyPr rot="-5400000" vert="horz"/>
              <a:lstStyle/>
              <a:p>
                <a:pPr>
                  <a:defRPr sz="1200" b="0" i="0" u="none" strike="noStrike" baseline="0">
                    <a:solidFill>
                      <a:srgbClr val="FF0000"/>
                    </a:solidFill>
                    <a:latin typeface="Presidencia Base" pitchFamily="50" charset="0"/>
                    <a:ea typeface="Arial"/>
                    <a:cs typeface="Arial"/>
                  </a:defRPr>
                </a:pPr>
                <a:r>
                  <a:rPr lang="es-MX" sz="1200" b="0">
                    <a:solidFill>
                      <a:srgbClr val="FF0000"/>
                    </a:solidFill>
                    <a:latin typeface="Presidencia Base" pitchFamily="50" charset="0"/>
                  </a:rPr>
                  <a:t>Millones de Casos</a:t>
                </a:r>
              </a:p>
            </c:rich>
          </c:tx>
          <c:layout>
            <c:manualLayout>
              <c:xMode val="edge"/>
              <c:yMode val="edge"/>
              <c:x val="0.90273848511214949"/>
              <c:y val="0.30330296139309793"/>
            </c:manualLayout>
          </c:layout>
          <c:spPr>
            <a:noFill/>
            <a:ln w="25400">
              <a:noFill/>
            </a:ln>
          </c:spPr>
        </c:title>
        <c:numFmt formatCode="_-* #,##0.0_-;\-* #,##0.0_-;_-* &quot;-&quot;?_-;_-@_-" sourceLinked="0"/>
        <c:majorTickMark val="cross"/>
        <c:tickLblPos val="nextTo"/>
        <c:spPr>
          <a:ln w="3175">
            <a:solidFill>
              <a:srgbClr val="FFC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F0000"/>
                </a:solidFill>
                <a:latin typeface="Presidencia Base" pitchFamily="50" charset="0"/>
                <a:ea typeface="Arial"/>
                <a:cs typeface="Arial"/>
              </a:defRPr>
            </a:pPr>
            <a:endParaRPr lang="es-MX"/>
          </a:p>
        </c:txPr>
        <c:crossAx val="90462464"/>
        <c:crosses val="max"/>
        <c:crossBetween val="between"/>
        <c:majorUnit val="0.5"/>
        <c:minorUnit val="0.5"/>
      </c:valAx>
      <c:spPr>
        <a:noFill/>
        <a:ln w="25400">
          <a:solidFill>
            <a:srgbClr val="FFC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5162168473960683E-2"/>
          <c:y val="0.88557668096365916"/>
          <c:w val="0.96381594577100627"/>
          <c:h val="7.829591364773691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80"/>
              </a:solidFill>
              <a:latin typeface="Presidencia Base" pitchFamily="50" charset="0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0.98425196850393659" l="0.74803149606299513" r="0.74803149606299513" t="0.98425196850393659" header="0.51181102362204722" footer="0.51181102362204722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14305949367511198"/>
          <c:y val="0.11052648148072799"/>
          <c:w val="0.72587739747271163"/>
          <c:h val="0.64279665837001843"/>
        </c:manualLayout>
      </c:layout>
      <c:lineChart>
        <c:grouping val="standard"/>
        <c:ser>
          <c:idx val="1"/>
          <c:order val="0"/>
          <c:tx>
            <c:strRef>
              <c:f>[6]COFEPRIS!$B$7</c:f>
              <c:strCache>
                <c:ptCount val="1"/>
                <c:pt idx="0">
                  <c:v>Cobertura de Desinfección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/>
              </a:solidFill>
              <a:ln>
                <a:solidFill>
                  <a:schemeClr val="tx2">
                    <a:lumMod val="75000"/>
                  </a:schemeClr>
                </a:solidFill>
                <a:prstDash val="solid"/>
              </a:ln>
            </c:spPr>
          </c:marker>
          <c:cat>
            <c:numRef>
              <c:f>[6]COFEPRIS!$F$6:$M$6</c:f>
              <c:numCache>
                <c:formatCode>General</c:formatCod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[6]COFEPRIS!$F$7:$M$7</c:f>
              <c:numCache>
                <c:formatCode>General</c:formatCode>
                <c:ptCount val="8"/>
                <c:pt idx="0">
                  <c:v>94.3</c:v>
                </c:pt>
                <c:pt idx="1">
                  <c:v>95.8</c:v>
                </c:pt>
                <c:pt idx="2">
                  <c:v>94.6</c:v>
                </c:pt>
                <c:pt idx="3">
                  <c:v>95.4</c:v>
                </c:pt>
                <c:pt idx="4">
                  <c:v>95.9</c:v>
                </c:pt>
                <c:pt idx="5">
                  <c:v>95.9</c:v>
                </c:pt>
                <c:pt idx="6">
                  <c:v>96</c:v>
                </c:pt>
                <c:pt idx="7">
                  <c:v>96.2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[6]COFEPRIS!$B$8</c:f>
              <c:strCache>
                <c:ptCount val="1"/>
                <c:pt idx="0">
                  <c:v>Eficiencia de Desinfección</c:v>
                </c:pt>
              </c:strCache>
            </c:strRef>
          </c:tx>
          <c:spPr>
            <a:ln w="25400">
              <a:solidFill>
                <a:srgbClr val="66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CC33"/>
              </a:solidFill>
              <a:ln>
                <a:solidFill>
                  <a:schemeClr val="accent5">
                    <a:lumMod val="75000"/>
                  </a:schemeClr>
                </a:solidFill>
                <a:prstDash val="solid"/>
              </a:ln>
            </c:spPr>
          </c:marker>
          <c:cat>
            <c:numRef>
              <c:f>[6]COFEPRIS!$F$6:$M$6</c:f>
              <c:numCache>
                <c:formatCode>General</c:formatCod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[6]COFEPRIS!$F$8:$M$8</c:f>
              <c:numCache>
                <c:formatCode>General</c:formatCode>
                <c:ptCount val="8"/>
                <c:pt idx="0">
                  <c:v>80.53</c:v>
                </c:pt>
                <c:pt idx="1">
                  <c:v>81.819999999999993</c:v>
                </c:pt>
                <c:pt idx="2">
                  <c:v>82.56</c:v>
                </c:pt>
                <c:pt idx="3">
                  <c:v>86.47</c:v>
                </c:pt>
                <c:pt idx="4">
                  <c:v>89.02</c:v>
                </c:pt>
                <c:pt idx="5">
                  <c:v>90.19</c:v>
                </c:pt>
                <c:pt idx="6">
                  <c:v>91.2</c:v>
                </c:pt>
                <c:pt idx="7">
                  <c:v>91.2</c:v>
                </c:pt>
              </c:numCache>
            </c:numRef>
          </c:val>
          <c:smooth val="1"/>
        </c:ser>
        <c:marker val="1"/>
        <c:axId val="90032384"/>
        <c:axId val="90489216"/>
      </c:lineChart>
      <c:lineChart>
        <c:grouping val="standard"/>
        <c:ser>
          <c:idx val="2"/>
          <c:order val="2"/>
          <c:tx>
            <c:strRef>
              <c:f>[6]COFEPRIS!$B$9</c:f>
              <c:strCache>
                <c:ptCount val="1"/>
                <c:pt idx="0">
                  <c:v>Enfermedades Infecciosas Intestinales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[6]COFEPRIS!$F$6:$M$6</c:f>
              <c:numCache>
                <c:formatCode>General</c:formatCod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[6]COFEPRIS!$F$9:$M$9</c:f>
              <c:numCache>
                <c:formatCode>General</c:formatCode>
                <c:ptCount val="8"/>
                <c:pt idx="0">
                  <c:v>6.8910580000000001</c:v>
                </c:pt>
                <c:pt idx="1">
                  <c:v>6.908455</c:v>
                </c:pt>
                <c:pt idx="2">
                  <c:v>6.8316299999999996</c:v>
                </c:pt>
                <c:pt idx="3">
                  <c:v>6.1910109999999996</c:v>
                </c:pt>
                <c:pt idx="4">
                  <c:v>5.9518690000000003</c:v>
                </c:pt>
                <c:pt idx="5">
                  <c:v>5.9129519999999998</c:v>
                </c:pt>
                <c:pt idx="6">
                  <c:v>5.5016910000000001</c:v>
                </c:pt>
                <c:pt idx="7">
                  <c:v>5.45</c:v>
                </c:pt>
              </c:numCache>
            </c:numRef>
          </c:val>
          <c:smooth val="1"/>
        </c:ser>
        <c:marker val="1"/>
        <c:axId val="90491136"/>
        <c:axId val="91422720"/>
      </c:lineChart>
      <c:catAx>
        <c:axId val="9003238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accent1">
                    <a:lumMod val="50000"/>
                  </a:schemeClr>
                </a:solidFill>
                <a:latin typeface="Presidencia Fina"/>
                <a:ea typeface="Presidencia Fina"/>
                <a:cs typeface="Presidencia Fina"/>
              </a:defRPr>
            </a:pPr>
            <a:endParaRPr lang="es-MX"/>
          </a:p>
        </c:txPr>
        <c:crossAx val="90489216"/>
        <c:crosses val="autoZero"/>
        <c:lblAlgn val="ctr"/>
        <c:lblOffset val="100"/>
        <c:tickLblSkip val="1"/>
        <c:tickMarkSkip val="1"/>
      </c:catAx>
      <c:valAx>
        <c:axId val="90489216"/>
        <c:scaling>
          <c:orientation val="minMax"/>
          <c:max val="100"/>
          <c:min val="8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chemeClr val="accent1">
                        <a:lumMod val="75000"/>
                      </a:schemeClr>
                    </a:solidFill>
                    <a:latin typeface="Presidencia Fina"/>
                    <a:ea typeface="Presidencia Fina"/>
                    <a:cs typeface="Presidencia Fina"/>
                  </a:defRPr>
                </a:pPr>
                <a:r>
                  <a:rPr lang="es-MX" b="1">
                    <a:solidFill>
                      <a:schemeClr val="accent1">
                        <a:lumMod val="75000"/>
                      </a:schemeClr>
                    </a:solidFill>
                  </a:rPr>
                  <a:t>% de Cobertura y Eficiencia </a:t>
                </a:r>
              </a:p>
            </c:rich>
          </c:tx>
          <c:layout>
            <c:manualLayout>
              <c:xMode val="edge"/>
              <c:yMode val="edge"/>
              <c:x val="2.8196422255728527E-2"/>
              <c:y val="0.228722961353968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accent1">
                    <a:lumMod val="50000"/>
                  </a:schemeClr>
                </a:solidFill>
                <a:latin typeface="Presidencia Fina"/>
                <a:ea typeface="Presidencia Fina"/>
                <a:cs typeface="Presidencia Fina"/>
              </a:defRPr>
            </a:pPr>
            <a:endParaRPr lang="es-MX"/>
          </a:p>
        </c:txPr>
        <c:crossAx val="90032384"/>
        <c:crosses val="autoZero"/>
        <c:crossBetween val="between"/>
        <c:majorUnit val="5"/>
      </c:valAx>
      <c:catAx>
        <c:axId val="90491136"/>
        <c:scaling>
          <c:orientation val="minMax"/>
        </c:scaling>
        <c:delete val="1"/>
        <c:axPos val="b"/>
        <c:numFmt formatCode="General" sourceLinked="1"/>
        <c:tickLblPos val="none"/>
        <c:crossAx val="91422720"/>
        <c:crossesAt val="5"/>
        <c:lblAlgn val="ctr"/>
        <c:lblOffset val="100"/>
      </c:catAx>
      <c:valAx>
        <c:axId val="91422720"/>
        <c:scaling>
          <c:orientation val="minMax"/>
          <c:max val="8"/>
          <c:min val="4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Presidencia Fina"/>
                    <a:ea typeface="Presidencia Fina"/>
                    <a:cs typeface="Presidencia Fina"/>
                  </a:defRPr>
                </a:pPr>
                <a:r>
                  <a:rPr lang="es-MX" b="1">
                    <a:solidFill>
                      <a:srgbClr val="FF0000"/>
                    </a:solidFill>
                  </a:rPr>
                  <a:t>Millones de Casos</a:t>
                </a:r>
              </a:p>
            </c:rich>
          </c:tx>
          <c:layout>
            <c:manualLayout>
              <c:xMode val="edge"/>
              <c:yMode val="edge"/>
              <c:x val="0.93070853731936065"/>
              <c:y val="0.25975291881618229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Presidencia Fina"/>
                <a:ea typeface="Presidencia Fina"/>
                <a:cs typeface="Presidencia Fina"/>
              </a:defRPr>
            </a:pPr>
            <a:endParaRPr lang="es-MX"/>
          </a:p>
        </c:txPr>
        <c:crossAx val="90491136"/>
        <c:crosses val="max"/>
        <c:crossBetween val="between"/>
        <c:majorUnit val="1"/>
        <c:minorUnit val="1"/>
      </c:valAx>
      <c:spPr>
        <a:noFill/>
        <a:ln w="25400">
          <a:solidFill>
            <a:srgbClr val="FFC000"/>
          </a:solidFill>
          <a:prstDash val="solid"/>
          <a:miter lim="800000"/>
        </a:ln>
      </c:spPr>
    </c:plotArea>
    <c:legend>
      <c:legendPos val="b"/>
      <c:layout>
        <c:manualLayout>
          <c:xMode val="edge"/>
          <c:yMode val="edge"/>
          <c:x val="8.909228545013434E-2"/>
          <c:y val="0.85485948954656565"/>
          <c:w val="0.81747448235637465"/>
          <c:h val="0.10377341840890576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Presidencia Fina"/>
              <a:ea typeface="Presidencia Fina"/>
              <a:cs typeface="Presidencia Fina"/>
            </a:defRPr>
          </a:pPr>
          <a:endParaRPr lang="es-MX"/>
        </a:p>
      </c:txPr>
    </c:legend>
    <c:plotVisOnly val="1"/>
    <c:dispBlanksAs val="gap"/>
  </c:chart>
  <c:spPr>
    <a:solidFill>
      <a:sysClr val="window" lastClr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Presidencia Fina"/>
          <a:ea typeface="Presidencia Fina"/>
          <a:cs typeface="Presidencia Fina"/>
        </a:defRPr>
      </a:pPr>
      <a:endParaRPr lang="es-MX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10905445270045469"/>
          <c:y val="8.4773815037826245E-2"/>
          <c:w val="0.76904277106206798"/>
          <c:h val="0.69658103822994977"/>
        </c:manualLayout>
      </c:layout>
      <c:barChart>
        <c:barDir val="col"/>
        <c:grouping val="clustered"/>
        <c:ser>
          <c:idx val="3"/>
          <c:order val="0"/>
          <c:tx>
            <c:strRef>
              <c:f>g3.3!$E$3</c:f>
              <c:strCache>
                <c:ptCount val="1"/>
                <c:pt idx="0">
                  <c:v>Caudal colectado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scene3d>
              <a:camera prst="orthographicFront"/>
              <a:lightRig rig="threePt" dir="t"/>
            </a:scene3d>
            <a:sp3d/>
          </c:spPr>
          <c:dLbls>
            <c:txPr>
              <a:bodyPr/>
              <a:lstStyle/>
              <a:p>
                <a:pPr>
                  <a:defRPr>
                    <a:solidFill>
                      <a:srgbClr val="FFC000"/>
                    </a:solidFill>
                    <a:latin typeface="Presidencia Firme" pitchFamily="50" charset="0"/>
                  </a:defRPr>
                </a:pPr>
                <a:endParaRPr lang="es-MX"/>
              </a:p>
            </c:txPr>
            <c:dLblPos val="inEnd"/>
            <c:showVal val="1"/>
          </c:dLbls>
          <c:cat>
            <c:numRef>
              <c:f>g3.3!$B$4:$B$9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g3.3!$E$4:$E$9</c:f>
              <c:numCache>
                <c:formatCode>General</c:formatCode>
                <c:ptCount val="6"/>
                <c:pt idx="0">
                  <c:v>207</c:v>
                </c:pt>
                <c:pt idx="1">
                  <c:v>208</c:v>
                </c:pt>
                <c:pt idx="2">
                  <c:v>209</c:v>
                </c:pt>
                <c:pt idx="3">
                  <c:v>215</c:v>
                </c:pt>
                <c:pt idx="4">
                  <c:v>218</c:v>
                </c:pt>
                <c:pt idx="5">
                  <c:v>220</c:v>
                </c:pt>
              </c:numCache>
            </c:numRef>
          </c:val>
        </c:ser>
        <c:ser>
          <c:idx val="2"/>
          <c:order val="1"/>
          <c:tx>
            <c:strRef>
              <c:f>g3.3!$D$3</c:f>
              <c:strCache>
                <c:ptCount val="1"/>
                <c:pt idx="0">
                  <c:v>Caudal tratado</c:v>
                </c:pt>
              </c:strCache>
            </c:strRef>
          </c:tx>
          <c:spPr>
            <a:solidFill>
              <a:srgbClr val="FFC000"/>
            </a:solidFill>
            <a:scene3d>
              <a:camera prst="orthographicFront"/>
              <a:lightRig rig="threePt" dir="t"/>
            </a:scene3d>
            <a:sp3d/>
          </c:spPr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663300"/>
                    </a:solidFill>
                    <a:latin typeface="Presidencia Firme" pitchFamily="50" charset="0"/>
                  </a:defRPr>
                </a:pPr>
                <a:endParaRPr lang="es-MX"/>
              </a:p>
            </c:txPr>
            <c:dLblPos val="inEnd"/>
            <c:showVal val="1"/>
          </c:dLbls>
          <c:cat>
            <c:numRef>
              <c:f>g3.3!$B$4:$B$9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g3.3!$D$4:$D$9</c:f>
              <c:numCache>
                <c:formatCode>0.0</c:formatCode>
                <c:ptCount val="6"/>
                <c:pt idx="0">
                  <c:v>79.388299999999987</c:v>
                </c:pt>
                <c:pt idx="1">
                  <c:v>83.63960999999999</c:v>
                </c:pt>
                <c:pt idx="2">
                  <c:v>88.127079999999978</c:v>
                </c:pt>
                <c:pt idx="3" formatCode="General">
                  <c:v>104.3</c:v>
                </c:pt>
                <c:pt idx="4" formatCode="General">
                  <c:v>117.9</c:v>
                </c:pt>
                <c:pt idx="5" formatCode="General">
                  <c:v>132</c:v>
                </c:pt>
              </c:numCache>
            </c:numRef>
          </c:val>
        </c:ser>
        <c:overlap val="100"/>
        <c:axId val="90740224"/>
        <c:axId val="90741760"/>
      </c:barChart>
      <c:scatterChart>
        <c:scatterStyle val="lineMarker"/>
        <c:ser>
          <c:idx val="0"/>
          <c:order val="3"/>
          <c:tx>
            <c:strRef>
              <c:f>g3.3!$G$3</c:f>
              <c:strCache>
                <c:ptCount val="1"/>
                <c:pt idx="0">
                  <c:v>Avance cobertura de tratamiento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5"/>
            <c:spPr>
              <a:solidFill>
                <a:srgbClr val="660066"/>
              </a:solidFill>
              <a:ln w="6350" cmpd="sng">
                <a:solidFill>
                  <a:srgbClr val="660066"/>
                </a:solidFill>
              </a:ln>
            </c:spPr>
          </c:marker>
          <c:dLbls>
            <c:txPr>
              <a:bodyPr anchor="b" anchorCtr="1"/>
              <a:lstStyle/>
              <a:p>
                <a:pPr algn="ctr">
                  <a:defRPr lang="es-MX" sz="1000" b="1" i="0" u="none" strike="noStrike" kern="1200" baseline="0">
                    <a:solidFill>
                      <a:sysClr val="windowText" lastClr="000000"/>
                    </a:solidFill>
                    <a:latin typeface="Presidencia Firme" pitchFamily="50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Val val="1"/>
          </c:dLbls>
          <c:xVal>
            <c:numRef>
              <c:f>g3.3!$B$4:$B$9</c:f>
            </c:numRef>
          </c:xVal>
          <c:yVal>
            <c:numRef>
              <c:f>g3.3!$G$4:$G$9</c:f>
              <c:numCache>
                <c:formatCode>_-* #,##0.0_-;\-* #,##0.0_-;_-* "-"??_-;_-@_-</c:formatCode>
                <c:ptCount val="6"/>
                <c:pt idx="0">
                  <c:v>38.309178743961361</c:v>
                </c:pt>
                <c:pt idx="1">
                  <c:v>40.192307692307686</c:v>
                </c:pt>
                <c:pt idx="2">
                  <c:v>42.166066985645934</c:v>
                </c:pt>
              </c:numCache>
            </c:numRef>
          </c:yVal>
        </c:ser>
        <c:axId val="90761472"/>
        <c:axId val="90759936"/>
      </c:scatterChart>
      <c:lineChart>
        <c:grouping val="standard"/>
        <c:ser>
          <c:idx val="4"/>
          <c:order val="2"/>
          <c:tx>
            <c:strRef>
              <c:f>g3.3!$F$3</c:f>
              <c:strCache>
                <c:ptCount val="1"/>
                <c:pt idx="0">
                  <c:v>Meta cobertura de tratamiento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rgbClr val="FF0066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marker>
          <c:dLbls>
            <c:txPr>
              <a:bodyPr/>
              <a:lstStyle/>
              <a:p>
                <a:pPr>
                  <a:defRPr b="1">
                    <a:latin typeface="Presidencia Firme" pitchFamily="50" charset="0"/>
                  </a:defRPr>
                </a:pPr>
                <a:endParaRPr lang="es-MX"/>
              </a:p>
            </c:txPr>
            <c:dLblPos val="b"/>
            <c:showVal val="1"/>
          </c:dLbls>
          <c:cat>
            <c:multiLvlStrRef>
              <c:f>g3.3!$B$4:$B$9</c:f>
            </c:multiLvlStrRef>
          </c:cat>
          <c:val>
            <c:numRef>
              <c:f>g3.3!$F$4:$F$9</c:f>
              <c:numCache>
                <c:formatCode>General</c:formatCode>
                <c:ptCount val="6"/>
                <c:pt idx="0">
                  <c:v>38.5</c:v>
                </c:pt>
                <c:pt idx="1">
                  <c:v>40.9</c:v>
                </c:pt>
                <c:pt idx="2">
                  <c:v>43.5</c:v>
                </c:pt>
                <c:pt idx="3">
                  <c:v>48.5</c:v>
                </c:pt>
                <c:pt idx="4">
                  <c:v>54.1</c:v>
                </c:pt>
                <c:pt idx="5" formatCode="0.0">
                  <c:v>60</c:v>
                </c:pt>
              </c:numCache>
            </c:numRef>
          </c:val>
        </c:ser>
        <c:marker val="1"/>
        <c:axId val="90761472"/>
        <c:axId val="90759936"/>
      </c:lineChart>
      <c:catAx>
        <c:axId val="907402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 b="1">
                <a:solidFill>
                  <a:schemeClr val="accent6">
                    <a:lumMod val="50000"/>
                  </a:schemeClr>
                </a:solidFill>
                <a:latin typeface="Presidencia Firme" pitchFamily="50" charset="0"/>
              </a:defRPr>
            </a:pPr>
            <a:endParaRPr lang="es-MX"/>
          </a:p>
        </c:txPr>
        <c:crossAx val="90741760"/>
        <c:crosses val="autoZero"/>
        <c:lblAlgn val="ctr"/>
        <c:lblOffset val="100"/>
      </c:catAx>
      <c:valAx>
        <c:axId val="90741760"/>
        <c:scaling>
          <c:orientation val="minMax"/>
          <c:max val="5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100" b="1">
                <a:solidFill>
                  <a:srgbClr val="996600"/>
                </a:solidFill>
                <a:latin typeface="Presidencia Base" pitchFamily="50" charset="0"/>
                <a:cs typeface="Arial" pitchFamily="34" charset="0"/>
              </a:defRPr>
            </a:pPr>
            <a:endParaRPr lang="es-MX"/>
          </a:p>
        </c:txPr>
        <c:crossAx val="90740224"/>
        <c:crosses val="autoZero"/>
        <c:crossBetween val="between"/>
      </c:valAx>
      <c:valAx>
        <c:axId val="90759936"/>
        <c:scaling>
          <c:orientation val="minMax"/>
          <c:max val="70"/>
        </c:scaling>
        <c:axPos val="r"/>
        <c:numFmt formatCode="_-* #,##0.0_-;\-* #,##0.0_-;_-* &quot;-&quot;??_-;_-@_-" sourceLinked="1"/>
        <c:tickLblPos val="nextTo"/>
        <c:txPr>
          <a:bodyPr/>
          <a:lstStyle/>
          <a:p>
            <a:pPr>
              <a:defRPr sz="1100" b="1">
                <a:solidFill>
                  <a:srgbClr val="996600"/>
                </a:solidFill>
                <a:latin typeface="Presidencia Base" pitchFamily="50" charset="0"/>
                <a:cs typeface="Arial" pitchFamily="34" charset="0"/>
              </a:defRPr>
            </a:pPr>
            <a:endParaRPr lang="es-MX"/>
          </a:p>
        </c:txPr>
        <c:crossAx val="90761472"/>
        <c:crosses val="max"/>
        <c:crossBetween val="between"/>
      </c:valAx>
      <c:catAx>
        <c:axId val="90761472"/>
        <c:scaling>
          <c:orientation val="minMax"/>
        </c:scaling>
        <c:delete val="1"/>
        <c:axPos val="b"/>
        <c:numFmt formatCode="_-* #,##0.0_-;\-* #,##0.0_-;_-* &quot;-&quot;??_-;_-@_-" sourceLinked="1"/>
        <c:tickLblPos val="none"/>
        <c:crossAx val="90759936"/>
        <c:crosses val="autoZero"/>
        <c:lblAlgn val="ctr"/>
        <c:lblOffset val="100"/>
      </c:catAx>
    </c:plotArea>
    <c:legend>
      <c:legendPos val="t"/>
      <c:layout>
        <c:manualLayout>
          <c:xMode val="edge"/>
          <c:yMode val="edge"/>
          <c:x val="4.8933847858252853E-2"/>
          <c:y val="0.89434889434890064"/>
          <c:w val="0.9"/>
          <c:h val="5.9239683491651998E-2"/>
        </c:manualLayout>
      </c:layout>
      <c:txPr>
        <a:bodyPr/>
        <a:lstStyle/>
        <a:p>
          <a:pPr rtl="0">
            <a:defRPr>
              <a:solidFill>
                <a:sysClr val="windowText" lastClr="000000"/>
              </a:solidFill>
              <a:latin typeface="Presidencia Base" pitchFamily="50" charset="0"/>
            </a:defRPr>
          </a:pPr>
          <a:endParaRPr lang="es-MX"/>
        </a:p>
      </c:txPr>
    </c:legend>
    <c:plotVisOnly val="1"/>
    <c:dispBlanksAs val="gap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paperSize="11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17956207490395912"/>
          <c:y val="7.4803574081542049E-2"/>
          <c:w val="0.72691999633730164"/>
          <c:h val="0.78178208855968478"/>
        </c:manualLayout>
      </c:layout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/>
                      <a:t>Tratamiento primario  </a:t>
                    </a:r>
                  </a:p>
                  <a:p>
                    <a:r>
                      <a:rPr lang="en-US" sz="1100"/>
                      <a:t>731 -33.4%</a:t>
                    </a:r>
                  </a:p>
                </c:rich>
              </c:tx>
              <c:dLblPos val="ctr"/>
              <c:showCatName val="1"/>
              <c:separator>
</c:separator>
            </c:dLbl>
            <c:dLbl>
              <c:idx val="1"/>
              <c:layout/>
              <c:tx>
                <c:rich>
                  <a:bodyPr rot="0"/>
                  <a:lstStyle/>
                  <a:p>
                    <a:pPr>
                      <a:defRPr sz="1100" b="0">
                        <a:solidFill>
                          <a:schemeClr val="bg1"/>
                        </a:solidFill>
                        <a:latin typeface="Presidencia Base" pitchFamily="50" charset="0"/>
                      </a:defRPr>
                    </a:pPr>
                    <a:r>
                      <a:rPr lang="es-MX" sz="1100" b="0">
                        <a:latin typeface="Presidencia Base" pitchFamily="50" charset="0"/>
                      </a:rPr>
                      <a:t>Tratamiento secundario </a:t>
                    </a:r>
                  </a:p>
                  <a:p>
                    <a:pPr>
                      <a:defRPr sz="1100" b="0">
                        <a:solidFill>
                          <a:schemeClr val="bg1"/>
                        </a:solidFill>
                        <a:latin typeface="Presidencia Base" pitchFamily="50" charset="0"/>
                      </a:defRPr>
                    </a:pPr>
                    <a:r>
                      <a:rPr lang="es-MX" sz="1100" b="0">
                        <a:latin typeface="Presidencia Base" pitchFamily="50" charset="0"/>
                      </a:rPr>
                      <a:t>1 193 - 54.6%</a:t>
                    </a:r>
                  </a:p>
                </c:rich>
              </c:tx>
              <c:numFmt formatCode="General" sourceLinked="0"/>
              <c:spPr/>
              <c:dLblPos val="ctr"/>
              <c:showCatName val="1"/>
              <c:separator>
</c:separator>
            </c:dLbl>
            <c:dLbl>
              <c:idx val="2"/>
              <c:layout>
                <c:manualLayout>
                  <c:x val="4.8106845428433414E-3"/>
                  <c:y val="3.5839859640186551E-2"/>
                </c:manualLayout>
              </c:layout>
              <c:tx>
                <c:rich>
                  <a:bodyPr rot="0"/>
                  <a:lstStyle/>
                  <a:p>
                    <a:pPr algn="ctr" rtl="0">
                      <a:def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Presidencia Firme" pitchFamily="50" charset="0"/>
                        <a:ea typeface="+mn-ea"/>
                        <a:cs typeface="+mn-cs"/>
                      </a:defRPr>
                    </a:pPr>
                    <a:r>
                      <a:rPr sz="1100" b="0">
                        <a:latin typeface="Presidencia Firme" pitchFamily="50" charset="0"/>
                      </a:rPr>
                      <a:t>Tratamiento terciario  </a:t>
                    </a:r>
                  </a:p>
                  <a:p>
                    <a:pPr algn="ctr" rtl="0">
                      <a:def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Presidencia Firme" pitchFamily="50" charset="0"/>
                        <a:ea typeface="+mn-ea"/>
                        <a:cs typeface="+mn-cs"/>
                      </a:defRPr>
                    </a:pPr>
                    <a:r>
                      <a:rPr sz="1100" b="0">
                        <a:latin typeface="Presidencia Firme" pitchFamily="50" charset="0"/>
                      </a:rPr>
                      <a:t>88 - 4.0%</a:t>
                    </a:r>
                  </a:p>
                </c:rich>
              </c:tx>
              <c:numFmt formatCode="General" sourceLinked="0"/>
              <c:spPr/>
              <c:dLblPos val="bestFit"/>
              <c:showCatName val="1"/>
              <c:separator> </c:separator>
            </c:dLbl>
            <c:dLbl>
              <c:idx val="3"/>
              <c:layout>
                <c:manualLayout>
                  <c:x val="3.6732403853225286E-2"/>
                  <c:y val="1.3655651534124272E-2"/>
                </c:manualLayout>
              </c:layout>
              <c:tx>
                <c:rich>
                  <a:bodyPr rot="0"/>
                  <a:lstStyle/>
                  <a:p>
                    <a:pPr algn="ctr" rtl="0">
                      <a:def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Presidencia Firme" pitchFamily="50" charset="0"/>
                        <a:ea typeface="+mn-ea"/>
                        <a:cs typeface="+mn-cs"/>
                      </a:defRPr>
                    </a:pPr>
                    <a:r>
                      <a:rPr sz="1100" b="0">
                        <a:latin typeface="Presidencia Firme" pitchFamily="50" charset="0"/>
                      </a:rPr>
                      <a:t>No especificado  174 - 8.0%</a:t>
                    </a:r>
                  </a:p>
                </c:rich>
              </c:tx>
              <c:numFmt formatCode="General" sourceLinked="0"/>
              <c:spPr/>
              <c:dLblPos val="bestFit"/>
              <c:showCatName val="1"/>
              <c:separator>
</c:separator>
            </c:dLbl>
            <c:numFmt formatCode="General" sourceLinked="0"/>
            <c:txPr>
              <a:bodyPr rot="0"/>
              <a:lstStyle/>
              <a:p>
                <a:pPr>
                  <a:defRPr sz="1100" b="0">
                    <a:solidFill>
                      <a:schemeClr val="bg1"/>
                    </a:solidFill>
                    <a:latin typeface="Presidencia Firme" pitchFamily="50" charset="0"/>
                  </a:defRPr>
                </a:pPr>
                <a:endParaRPr lang="es-MX"/>
              </a:p>
            </c:txPr>
            <c:dLblPos val="ctr"/>
            <c:showCatName val="1"/>
            <c:separator>
</c:separator>
          </c:dLbls>
          <c:cat>
            <c:multiLvlStrRef>
              <c:f>' g3.4'!$B$3:$D$6</c:f>
              <c:multiLvlStrCache>
                <c:ptCount val="4"/>
                <c:lvl>
                  <c:pt idx="0">
                    <c:v>33.4%</c:v>
                  </c:pt>
                  <c:pt idx="1">
                    <c:v>54.6%</c:v>
                  </c:pt>
                  <c:pt idx="2">
                    <c:v>4.0%</c:v>
                  </c:pt>
                  <c:pt idx="3">
                    <c:v>8.0%</c:v>
                  </c:pt>
                </c:lvl>
                <c:lvl>
                  <c:pt idx="0">
                    <c:v> 731</c:v>
                  </c:pt>
                  <c:pt idx="1">
                    <c:v>1 193</c:v>
                  </c:pt>
                  <c:pt idx="2">
                    <c:v> 88</c:v>
                  </c:pt>
                  <c:pt idx="3">
                    <c:v> 174</c:v>
                  </c:pt>
                </c:lvl>
                <c:lvl>
                  <c:pt idx="0">
                    <c:v>Tratamiento primario</c:v>
                  </c:pt>
                  <c:pt idx="1">
                    <c:v>Tratamiento secundario</c:v>
                  </c:pt>
                  <c:pt idx="2">
                    <c:v>Tratamiento terciario</c:v>
                  </c:pt>
                  <c:pt idx="3">
                    <c:v>No especificado</c:v>
                  </c:pt>
                </c:lvl>
              </c:multiLvlStrCache>
            </c:multiLvlStrRef>
          </c:cat>
          <c:val>
            <c:numRef>
              <c:f>' g3.4'!$C$3:$C$6</c:f>
              <c:numCache>
                <c:formatCode>#\ ##0</c:formatCode>
                <c:ptCount val="4"/>
                <c:pt idx="0">
                  <c:v>731</c:v>
                </c:pt>
                <c:pt idx="1">
                  <c:v>1193</c:v>
                </c:pt>
                <c:pt idx="2">
                  <c:v>88</c:v>
                </c:pt>
                <c:pt idx="3">
                  <c:v>174</c:v>
                </c:pt>
              </c:numCache>
            </c:numRef>
          </c:val>
        </c:ser>
        <c:firstSliceAng val="333"/>
      </c:pieChart>
    </c:plotArea>
    <c:plotVisOnly val="1"/>
  </c:chart>
  <c:spPr>
    <a:noFill/>
    <a:ln>
      <a:noFill/>
    </a:ln>
  </c:spPr>
  <c:txPr>
    <a:bodyPr/>
    <a:lstStyle/>
    <a:p>
      <a:pPr>
        <a:defRPr>
          <a:latin typeface="Presidencia Fina" pitchFamily="50" charset="0"/>
        </a:defRPr>
      </a:pPr>
      <a:endParaRPr lang="es-MX"/>
    </a:p>
  </c:txPr>
  <c:printSettings>
    <c:headerFooter/>
    <c:pageMargins b="0.74803149606299679" l="0.70866141732283994" r="0.70866141732283994" t="0.74803149606299679" header="0.31496062992126417" footer="0.31496062992126417"/>
    <c:pageSetup paperSize="11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8.2513959191633027E-2"/>
          <c:y val="5.7513234574492124E-2"/>
          <c:w val="0.91170381101553133"/>
          <c:h val="0.7973436540771387"/>
        </c:manualLayout>
      </c:layout>
      <c:barChart>
        <c:barDir val="col"/>
        <c:grouping val="stacked"/>
        <c:ser>
          <c:idx val="1"/>
          <c:order val="0"/>
          <c:tx>
            <c:strRef>
              <c:f>'oldg 1.1 (2)'!$D$2</c:f>
              <c:strCache>
                <c:ptCount val="1"/>
                <c:pt idx="0">
                  <c:v>FEDERAL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 lang="es-MX" sz="1600" b="1" i="0" u="none" strike="noStrike" kern="1200" baseline="0">
                    <a:solidFill>
                      <a:srgbClr val="FFFFFF"/>
                    </a:solidFill>
                    <a:latin typeface="Arial" pitchFamily="34" charset="0"/>
                    <a:ea typeface="Presidencia Fina"/>
                    <a:cs typeface="Arial" pitchFamily="34" charset="0"/>
                  </a:defRPr>
                </a:pPr>
                <a:endParaRPr lang="es-MX"/>
              </a:p>
            </c:txPr>
            <c:showVal val="1"/>
          </c:dLbls>
          <c:cat>
            <c:numRef>
              <c:f>'oldg 1.1 (2)'!$C$3:$C$10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'oldg 1.1 (2)'!$D$3:$D$10</c:f>
              <c:numCache>
                <c:formatCode>#,##0.000\ \ \ \ </c:formatCode>
                <c:ptCount val="8"/>
                <c:pt idx="0">
                  <c:v>2293</c:v>
                </c:pt>
                <c:pt idx="1">
                  <c:v>4237.6822999400001</c:v>
                </c:pt>
                <c:pt idx="2">
                  <c:v>4071.4475795640005</c:v>
                </c:pt>
                <c:pt idx="3">
                  <c:v>7085.2770266450079</c:v>
                </c:pt>
                <c:pt idx="4">
                  <c:v>5771.3962180547605</c:v>
                </c:pt>
                <c:pt idx="5">
                  <c:v>9432.6144038057009</c:v>
                </c:pt>
                <c:pt idx="6">
                  <c:v>13862.78104523215</c:v>
                </c:pt>
                <c:pt idx="7">
                  <c:v>17006.461568000002</c:v>
                </c:pt>
              </c:numCache>
            </c:numRef>
          </c:val>
        </c:ser>
        <c:ser>
          <c:idx val="2"/>
          <c:order val="1"/>
          <c:tx>
            <c:strRef>
              <c:f>'oldg 1.1 (2)'!$E$2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 lang="es-MX" sz="1600" b="1" i="0" u="none" strike="noStrike" kern="1200" baseline="0">
                    <a:solidFill>
                      <a:srgbClr val="FFFFFF"/>
                    </a:solidFill>
                    <a:latin typeface="Arial" pitchFamily="34" charset="0"/>
                    <a:ea typeface="Presidencia Fina"/>
                    <a:cs typeface="Arial" pitchFamily="34" charset="0"/>
                  </a:defRPr>
                </a:pPr>
                <a:endParaRPr lang="es-MX"/>
              </a:p>
            </c:txPr>
            <c:showVal val="1"/>
          </c:dLbls>
          <c:cat>
            <c:numRef>
              <c:f>'oldg 1.1 (2)'!$C$3:$C$10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'oldg 1.1 (2)'!$E$3:$E$10</c:f>
              <c:numCache>
                <c:formatCode>#,##0.000\ \ \ \ </c:formatCode>
                <c:ptCount val="8"/>
                <c:pt idx="0">
                  <c:v>1146</c:v>
                </c:pt>
                <c:pt idx="1">
                  <c:v>2147.5491737686311</c:v>
                </c:pt>
                <c:pt idx="2">
                  <c:v>3035.4075303776663</c:v>
                </c:pt>
                <c:pt idx="3">
                  <c:v>4988.4086592830499</c:v>
                </c:pt>
                <c:pt idx="4">
                  <c:v>2699.2173367951941</c:v>
                </c:pt>
                <c:pt idx="5">
                  <c:v>4140.4379262282173</c:v>
                </c:pt>
                <c:pt idx="6">
                  <c:v>7286.8127070931132</c:v>
                </c:pt>
                <c:pt idx="7">
                  <c:v>6216.6630939999995</c:v>
                </c:pt>
              </c:numCache>
            </c:numRef>
          </c:val>
        </c:ser>
        <c:ser>
          <c:idx val="3"/>
          <c:order val="2"/>
          <c:tx>
            <c:strRef>
              <c:f>'oldg 1.1 (2)'!$F$2</c:f>
              <c:strCache>
                <c:ptCount val="1"/>
                <c:pt idx="0">
                  <c:v>MUNICIPAL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dLbl>
              <c:idx val="0"/>
              <c:layout>
                <c:manualLayout>
                  <c:x val="5.2697435887414934E-3"/>
                  <c:y val="-3.1979104613294652E-2"/>
                </c:manualLayout>
              </c:layout>
              <c:dLblPos val="ct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 lang="es-MX" sz="1600" b="1" i="0" u="none" strike="noStrike" kern="1200" baseline="0">
                    <a:solidFill>
                      <a:srgbClr val="FFFFFF"/>
                    </a:solidFill>
                    <a:latin typeface="Arial" pitchFamily="34" charset="0"/>
                    <a:ea typeface="Presidencia Fina"/>
                    <a:cs typeface="Arial" pitchFamily="34" charset="0"/>
                  </a:defRPr>
                </a:pPr>
                <a:endParaRPr lang="es-MX"/>
              </a:p>
            </c:txPr>
            <c:showVal val="1"/>
          </c:dLbls>
          <c:cat>
            <c:numRef>
              <c:f>'oldg 1.1 (2)'!$C$3:$C$10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'oldg 1.1 (2)'!$F$3:$F$10</c:f>
              <c:numCache>
                <c:formatCode>#,##0.000\ \ \ \ </c:formatCode>
                <c:ptCount val="8"/>
                <c:pt idx="0">
                  <c:v>695</c:v>
                </c:pt>
                <c:pt idx="1">
                  <c:v>1926.7617790868337</c:v>
                </c:pt>
                <c:pt idx="2">
                  <c:v>1386.462534168094</c:v>
                </c:pt>
                <c:pt idx="3">
                  <c:v>2917.7999596649224</c:v>
                </c:pt>
                <c:pt idx="4">
                  <c:v>2817.3939391910171</c:v>
                </c:pt>
                <c:pt idx="5">
                  <c:v>2714.1753860010426</c:v>
                </c:pt>
                <c:pt idx="6">
                  <c:v>3549.8440444670005</c:v>
                </c:pt>
                <c:pt idx="7">
                  <c:v>1937.789689</c:v>
                </c:pt>
              </c:numCache>
            </c:numRef>
          </c:val>
        </c:ser>
        <c:ser>
          <c:idx val="4"/>
          <c:order val="3"/>
          <c:tx>
            <c:strRef>
              <c:f>'oldg 1.1 (2)'!$G$2</c:f>
              <c:strCache>
                <c:ptCount val="1"/>
                <c:pt idx="0">
                  <c:v>OTROS a/</c:v>
                </c:pt>
              </c:strCache>
            </c:strRef>
          </c:tx>
          <c:spPr>
            <a:solidFill>
              <a:srgbClr val="009900"/>
            </a:solidFill>
            <a:ln>
              <a:solidFill>
                <a:srgbClr val="80808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numFmt formatCode="#,##0.0" sourceLinked="0"/>
            <c:txPr>
              <a:bodyPr/>
              <a:lstStyle/>
              <a:p>
                <a:pPr algn="ctr">
                  <a:defRPr lang="es-MX" sz="1600" b="1" i="0" u="none" strike="noStrike" kern="1200" baseline="0">
                    <a:solidFill>
                      <a:srgbClr val="FFFFFF"/>
                    </a:solidFill>
                    <a:latin typeface="Arial" pitchFamily="34" charset="0"/>
                    <a:ea typeface="Presidencia Fina"/>
                    <a:cs typeface="Arial" pitchFamily="34" charset="0"/>
                  </a:defRPr>
                </a:pPr>
                <a:endParaRPr lang="es-MX"/>
              </a:p>
            </c:txPr>
            <c:showVal val="1"/>
          </c:dLbls>
          <c:cat>
            <c:numRef>
              <c:f>'oldg 1.1 (2)'!$C$3:$C$10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'oldg 1.1 (2)'!$G$3:$G$10</c:f>
              <c:numCache>
                <c:formatCode>#,##0.000\ \ \ \ </c:formatCode>
                <c:ptCount val="8"/>
                <c:pt idx="0">
                  <c:v>6285</c:v>
                </c:pt>
                <c:pt idx="1">
                  <c:v>4121.4896577</c:v>
                </c:pt>
                <c:pt idx="2">
                  <c:v>4996.0458591836723</c:v>
                </c:pt>
                <c:pt idx="3">
                  <c:v>6615.8627616949598</c:v>
                </c:pt>
                <c:pt idx="4">
                  <c:v>4440.5147086100005</c:v>
                </c:pt>
                <c:pt idx="5">
                  <c:v>5230.1596738640355</c:v>
                </c:pt>
                <c:pt idx="6">
                  <c:v>4811.064250145495</c:v>
                </c:pt>
                <c:pt idx="7">
                  <c:v>4214.8303554054955</c:v>
                </c:pt>
              </c:numCache>
            </c:numRef>
          </c:val>
        </c:ser>
        <c:overlap val="100"/>
        <c:axId val="73996160"/>
        <c:axId val="73997696"/>
      </c:barChart>
      <c:lineChart>
        <c:grouping val="standard"/>
        <c:ser>
          <c:idx val="0"/>
          <c:order val="4"/>
          <c:tx>
            <c:strRef>
              <c:f>'oldg 1.1 (2)'!$H$2</c:f>
              <c:strCache>
                <c:ptCount val="1"/>
                <c:pt idx="0">
                  <c:v>TOTALES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numFmt formatCode="#,##0.0" sourceLinked="0"/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dLblPos val="t"/>
            <c:showVal val="1"/>
          </c:dLbls>
          <c:val>
            <c:numRef>
              <c:f>'oldg 1.1 (2)'!$H$3:$H$10</c:f>
              <c:numCache>
                <c:formatCode>#,##0.000\ \ \ \ </c:formatCode>
                <c:ptCount val="8"/>
                <c:pt idx="0">
                  <c:v>10419</c:v>
                </c:pt>
                <c:pt idx="1">
                  <c:v>12433.482910495464</c:v>
                </c:pt>
                <c:pt idx="2">
                  <c:v>13489.363503293433</c:v>
                </c:pt>
                <c:pt idx="3">
                  <c:v>21607.34840728794</c:v>
                </c:pt>
                <c:pt idx="4">
                  <c:v>15728.522202650973</c:v>
                </c:pt>
                <c:pt idx="5">
                  <c:v>21517.387389898999</c:v>
                </c:pt>
                <c:pt idx="6">
                  <c:v>29510.502046937763</c:v>
                </c:pt>
                <c:pt idx="7">
                  <c:v>29375.744706405498</c:v>
                </c:pt>
              </c:numCache>
            </c:numRef>
          </c:val>
        </c:ser>
        <c:marker val="1"/>
        <c:axId val="73996160"/>
        <c:axId val="73997696"/>
      </c:lineChart>
      <c:catAx>
        <c:axId val="739961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800000"/>
                </a:solidFill>
                <a:latin typeface="Presidencia Fina"/>
                <a:ea typeface="Presidencia Fina"/>
                <a:cs typeface="Presidencia Fina"/>
              </a:defRPr>
            </a:pPr>
            <a:endParaRPr lang="es-MX"/>
          </a:p>
        </c:txPr>
        <c:crossAx val="73997696"/>
        <c:crosses val="autoZero"/>
        <c:auto val="1"/>
        <c:lblAlgn val="ctr"/>
        <c:lblOffset val="100"/>
        <c:tickLblSkip val="1"/>
        <c:tickMarkSkip val="1"/>
      </c:catAx>
      <c:valAx>
        <c:axId val="73997696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02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Miles de Millones de Pesos</a:t>
                </a:r>
              </a:p>
            </c:rich>
          </c:tx>
          <c:layout>
            <c:manualLayout>
              <c:xMode val="edge"/>
              <c:yMode val="edge"/>
              <c:x val="2.0287442559912452E-2"/>
              <c:y val="0.2851162742242146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800000"/>
                </a:solidFill>
                <a:latin typeface="Arial" pitchFamily="34" charset="0"/>
                <a:ea typeface="Presidencia Fina"/>
                <a:cs typeface="Arial" pitchFamily="34" charset="0"/>
              </a:defRPr>
            </a:pPr>
            <a:endParaRPr lang="es-MX"/>
          </a:p>
        </c:txPr>
        <c:crossAx val="73996160"/>
        <c:crosses val="autoZero"/>
        <c:crossBetween val="between"/>
        <c:majorUnit val="5000"/>
        <c:minorUnit val="50"/>
        <c:dispUnits>
          <c:builtInUnit val="thousands"/>
        </c:dispUnits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 w="12700">
          <a:solidFill>
            <a:srgbClr val="808080"/>
          </a:solidFill>
          <a:prstDash val="solid"/>
        </a:ln>
        <a:scene3d>
          <a:camera prst="orthographicFront"/>
          <a:lightRig rig="threePt" dir="t"/>
        </a:scene3d>
        <a:sp3d>
          <a:bevelT w="165100" prst="coolSlant"/>
        </a:sp3d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ea typeface="Presidencia Fina"/>
                <a:cs typeface="Arial" pitchFamily="34" charset="0"/>
              </a:defRPr>
            </a:pPr>
            <a:endParaRPr lang="es-MX"/>
          </a:p>
        </c:txPr>
      </c:legendEntry>
      <c:layout>
        <c:manualLayout>
          <c:xMode val="edge"/>
          <c:yMode val="edge"/>
          <c:x val="0.11233671549212275"/>
          <c:y val="0.93269887325273393"/>
          <c:w val="0.78165925610190978"/>
          <c:h val="6.7301126747282891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chemeClr val="accent2">
                  <a:lumMod val="75000"/>
                </a:schemeClr>
              </a:solidFill>
              <a:latin typeface="Arial" pitchFamily="34" charset="0"/>
              <a:ea typeface="Presidencia Fina"/>
              <a:cs typeface="Arial" pitchFamily="34" charset="0"/>
            </a:defRPr>
          </a:pPr>
          <a:endParaRPr lang="es-MX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0.59055118110232729" l="0.39370078740157488" r="0.39370078740157488" t="0.59055118110232729" header="0" footer="0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13156593709413841"/>
          <c:y val="5.2993423898938595E-2"/>
          <c:w val="0.85221675349011072"/>
          <c:h val="0.85825704614026055"/>
        </c:manualLayout>
      </c:layout>
      <c:barChart>
        <c:barDir val="bar"/>
        <c:grouping val="clustered"/>
        <c:ser>
          <c:idx val="2"/>
          <c:order val="0"/>
          <c:tx>
            <c:strRef>
              <c:f>Dom!$G$4</c:f>
              <c:strCache>
                <c:ptCount val="1"/>
                <c:pt idx="0">
                  <c:v>cuota solo drenaje y/o saneamiento</c:v>
                </c:pt>
              </c:strCache>
            </c:strRef>
          </c:tx>
          <c:dLbls>
            <c:numFmt formatCode="#,##0.0" sourceLinked="0"/>
            <c:txPr>
              <a:bodyPr/>
              <a:lstStyle/>
              <a:p>
                <a:pPr>
                  <a:defRPr sz="1400">
                    <a:latin typeface="Presidencia Base" pitchFamily="50" charset="0"/>
                  </a:defRPr>
                </a:pPr>
                <a:endParaRPr lang="es-MX"/>
              </a:p>
            </c:txPr>
            <c:showVal val="1"/>
          </c:dLbls>
          <c:cat>
            <c:strRef>
              <c:f>Dom!$A$5:$A$36</c:f>
              <c:strCache>
                <c:ptCount val="32"/>
                <c:pt idx="0">
                  <c:v>Campeche</c:v>
                </c:pt>
                <c:pt idx="1">
                  <c:v>Oaxaca</c:v>
                </c:pt>
                <c:pt idx="2">
                  <c:v>Mexicali</c:v>
                </c:pt>
                <c:pt idx="3">
                  <c:v>Tula de Allende</c:v>
                </c:pt>
                <c:pt idx="4">
                  <c:v>Culiacán</c:v>
                </c:pt>
                <c:pt idx="5">
                  <c:v>Tlaxcala</c:v>
                </c:pt>
                <c:pt idx="6">
                  <c:v>Distrito Federal</c:v>
                </c:pt>
                <c:pt idx="7">
                  <c:v>Hermosillo</c:v>
                </c:pt>
                <c:pt idx="8">
                  <c:v>Guadalajara</c:v>
                </c:pt>
                <c:pt idx="9">
                  <c:v>Mérida</c:v>
                </c:pt>
                <c:pt idx="10">
                  <c:v>Cancún</c:v>
                </c:pt>
                <c:pt idx="11">
                  <c:v>Chetumal</c:v>
                </c:pt>
                <c:pt idx="12">
                  <c:v>San Juan del Río</c:v>
                </c:pt>
                <c:pt idx="13">
                  <c:v>Gómez Palacio</c:v>
                </c:pt>
                <c:pt idx="14">
                  <c:v>Delicias</c:v>
                </c:pt>
                <c:pt idx="15">
                  <c:v>Juárez</c:v>
                </c:pt>
                <c:pt idx="16">
                  <c:v>Torreón</c:v>
                </c:pt>
                <c:pt idx="17">
                  <c:v>Colima</c:v>
                </c:pt>
                <c:pt idx="18">
                  <c:v>San Luis Potosí</c:v>
                </c:pt>
                <c:pt idx="19">
                  <c:v>Monterrey</c:v>
                </c:pt>
                <c:pt idx="20">
                  <c:v>Toluca</c:v>
                </c:pt>
                <c:pt idx="21">
                  <c:v>Acapulco</c:v>
                </c:pt>
                <c:pt idx="22">
                  <c:v>La Paz</c:v>
                </c:pt>
                <c:pt idx="23">
                  <c:v>Naucalpan</c:v>
                </c:pt>
                <c:pt idx="24">
                  <c:v>Ensenada</c:v>
                </c:pt>
                <c:pt idx="25">
                  <c:v>Puebla</c:v>
                </c:pt>
                <c:pt idx="26">
                  <c:v>León</c:v>
                </c:pt>
                <c:pt idx="27">
                  <c:v>Atizapán</c:v>
                </c:pt>
                <c:pt idx="28">
                  <c:v>Xalapa</c:v>
                </c:pt>
                <c:pt idx="29">
                  <c:v>Tijuana</c:v>
                </c:pt>
                <c:pt idx="30">
                  <c:v>Aguascalientes</c:v>
                </c:pt>
                <c:pt idx="31">
                  <c:v>Morelia</c:v>
                </c:pt>
              </c:strCache>
            </c:strRef>
          </c:cat>
          <c:val>
            <c:numRef>
              <c:f>Dom!$G$5:$G$36</c:f>
              <c:numCache>
                <c:formatCode>0.00</c:formatCode>
                <c:ptCount val="32"/>
                <c:pt idx="0">
                  <c:v>1.6</c:v>
                </c:pt>
                <c:pt idx="1">
                  <c:v>2.74</c:v>
                </c:pt>
                <c:pt idx="2">
                  <c:v>4.0270000000000001</c:v>
                </c:pt>
                <c:pt idx="3">
                  <c:v>4.331666666666667</c:v>
                </c:pt>
                <c:pt idx="4">
                  <c:v>4.7500000000000009</c:v>
                </c:pt>
                <c:pt idx="5">
                  <c:v>4.9352500000000008</c:v>
                </c:pt>
                <c:pt idx="6">
                  <c:v>5.2553333333333336</c:v>
                </c:pt>
                <c:pt idx="7">
                  <c:v>5.4756</c:v>
                </c:pt>
                <c:pt idx="8">
                  <c:v>5.8362500000000006</c:v>
                </c:pt>
                <c:pt idx="9">
                  <c:v>5.85</c:v>
                </c:pt>
                <c:pt idx="10">
                  <c:v>6.942400000000001</c:v>
                </c:pt>
                <c:pt idx="11">
                  <c:v>6.942400000000001</c:v>
                </c:pt>
                <c:pt idx="12">
                  <c:v>6.9793145283333331</c:v>
                </c:pt>
                <c:pt idx="13">
                  <c:v>7.1160777519999998</c:v>
                </c:pt>
                <c:pt idx="14">
                  <c:v>7.2332999999999998</c:v>
                </c:pt>
                <c:pt idx="15">
                  <c:v>7.72</c:v>
                </c:pt>
                <c:pt idx="16">
                  <c:v>8.31</c:v>
                </c:pt>
                <c:pt idx="17">
                  <c:v>8.3836217333333352</c:v>
                </c:pt>
                <c:pt idx="18">
                  <c:v>9.0399999999999991</c:v>
                </c:pt>
                <c:pt idx="19">
                  <c:v>9.5309999999999988</c:v>
                </c:pt>
                <c:pt idx="20">
                  <c:v>9.6129318999999995</c:v>
                </c:pt>
                <c:pt idx="21">
                  <c:v>10.03168</c:v>
                </c:pt>
                <c:pt idx="22">
                  <c:v>10.559999999999999</c:v>
                </c:pt>
                <c:pt idx="23">
                  <c:v>11.982589919999997</c:v>
                </c:pt>
                <c:pt idx="24">
                  <c:v>12.072666666666668</c:v>
                </c:pt>
                <c:pt idx="25">
                  <c:v>12.21</c:v>
                </c:pt>
                <c:pt idx="26">
                  <c:v>13.244399999999999</c:v>
                </c:pt>
                <c:pt idx="27">
                  <c:v>13.332401599999999</c:v>
                </c:pt>
                <c:pt idx="28">
                  <c:v>14.586133333333333</c:v>
                </c:pt>
                <c:pt idx="29">
                  <c:v>14.937666666666667</c:v>
                </c:pt>
                <c:pt idx="30">
                  <c:v>16.890866666666668</c:v>
                </c:pt>
                <c:pt idx="31">
                  <c:v>21.336933333333331</c:v>
                </c:pt>
              </c:numCache>
            </c:numRef>
          </c:val>
        </c:ser>
        <c:ser>
          <c:idx val="1"/>
          <c:order val="1"/>
          <c:tx>
            <c:strRef>
              <c:f>Dom!$F$4</c:f>
              <c:strCache>
                <c:ptCount val="1"/>
                <c:pt idx="0">
                  <c:v>cuota agua menos cargo fijo</c:v>
                </c:pt>
              </c:strCache>
            </c:strRef>
          </c:tx>
          <c:cat>
            <c:strRef>
              <c:f>Dom!$A$5:$A$36</c:f>
              <c:strCache>
                <c:ptCount val="32"/>
                <c:pt idx="0">
                  <c:v>Campeche</c:v>
                </c:pt>
                <c:pt idx="1">
                  <c:v>Oaxaca</c:v>
                </c:pt>
                <c:pt idx="2">
                  <c:v>Mexicali</c:v>
                </c:pt>
                <c:pt idx="3">
                  <c:v>Tula de Allende</c:v>
                </c:pt>
                <c:pt idx="4">
                  <c:v>Culiacán</c:v>
                </c:pt>
                <c:pt idx="5">
                  <c:v>Tlaxcala</c:v>
                </c:pt>
                <c:pt idx="6">
                  <c:v>Distrito Federal</c:v>
                </c:pt>
                <c:pt idx="7">
                  <c:v>Hermosillo</c:v>
                </c:pt>
                <c:pt idx="8">
                  <c:v>Guadalajara</c:v>
                </c:pt>
                <c:pt idx="9">
                  <c:v>Mérida</c:v>
                </c:pt>
                <c:pt idx="10">
                  <c:v>Cancún</c:v>
                </c:pt>
                <c:pt idx="11">
                  <c:v>Chetumal</c:v>
                </c:pt>
                <c:pt idx="12">
                  <c:v>San Juan del Río</c:v>
                </c:pt>
                <c:pt idx="13">
                  <c:v>Gómez Palacio</c:v>
                </c:pt>
                <c:pt idx="14">
                  <c:v>Delicias</c:v>
                </c:pt>
                <c:pt idx="15">
                  <c:v>Juárez</c:v>
                </c:pt>
                <c:pt idx="16">
                  <c:v>Torreón</c:v>
                </c:pt>
                <c:pt idx="17">
                  <c:v>Colima</c:v>
                </c:pt>
                <c:pt idx="18">
                  <c:v>San Luis Potosí</c:v>
                </c:pt>
                <c:pt idx="19">
                  <c:v>Monterrey</c:v>
                </c:pt>
                <c:pt idx="20">
                  <c:v>Toluca</c:v>
                </c:pt>
                <c:pt idx="21">
                  <c:v>Acapulco</c:v>
                </c:pt>
                <c:pt idx="22">
                  <c:v>La Paz</c:v>
                </c:pt>
                <c:pt idx="23">
                  <c:v>Naucalpan</c:v>
                </c:pt>
                <c:pt idx="24">
                  <c:v>Ensenada</c:v>
                </c:pt>
                <c:pt idx="25">
                  <c:v>Puebla</c:v>
                </c:pt>
                <c:pt idx="26">
                  <c:v>León</c:v>
                </c:pt>
                <c:pt idx="27">
                  <c:v>Atizapán</c:v>
                </c:pt>
                <c:pt idx="28">
                  <c:v>Xalapa</c:v>
                </c:pt>
                <c:pt idx="29">
                  <c:v>Tijuana</c:v>
                </c:pt>
                <c:pt idx="30">
                  <c:v>Aguascalientes</c:v>
                </c:pt>
                <c:pt idx="31">
                  <c:v>Morelia</c:v>
                </c:pt>
              </c:strCache>
            </c:strRef>
          </c:cat>
          <c:val>
            <c:numRef>
              <c:f>Dom!$F$5:$F$36</c:f>
              <c:numCache>
                <c:formatCode>0.00</c:formatCode>
                <c:ptCount val="32"/>
                <c:pt idx="0">
                  <c:v>1.6</c:v>
                </c:pt>
                <c:pt idx="1">
                  <c:v>2.74</c:v>
                </c:pt>
                <c:pt idx="2">
                  <c:v>4.0270000000000001</c:v>
                </c:pt>
                <c:pt idx="3">
                  <c:v>3.7666666666666666</c:v>
                </c:pt>
                <c:pt idx="4">
                  <c:v>3.9583333333333339</c:v>
                </c:pt>
                <c:pt idx="5">
                  <c:v>4.2945333333333338</c:v>
                </c:pt>
                <c:pt idx="6">
                  <c:v>5.2553333333333336</c:v>
                </c:pt>
                <c:pt idx="7">
                  <c:v>4.056</c:v>
                </c:pt>
                <c:pt idx="8">
                  <c:v>5.5583333333333336</c:v>
                </c:pt>
                <c:pt idx="9">
                  <c:v>3.9</c:v>
                </c:pt>
                <c:pt idx="10">
                  <c:v>5.7853333333333339</c:v>
                </c:pt>
                <c:pt idx="11">
                  <c:v>5.7853333333333339</c:v>
                </c:pt>
                <c:pt idx="12">
                  <c:v>5.0943901666666669</c:v>
                </c:pt>
                <c:pt idx="13">
                  <c:v>6.4750480000000001</c:v>
                </c:pt>
                <c:pt idx="14">
                  <c:v>5.13</c:v>
                </c:pt>
                <c:pt idx="15">
                  <c:v>3.79</c:v>
                </c:pt>
                <c:pt idx="16">
                  <c:v>6.65</c:v>
                </c:pt>
                <c:pt idx="17">
                  <c:v>3.7968177000000001</c:v>
                </c:pt>
                <c:pt idx="18">
                  <c:v>6.95</c:v>
                </c:pt>
                <c:pt idx="19">
                  <c:v>7.6209999999999996</c:v>
                </c:pt>
                <c:pt idx="20">
                  <c:v>8.0107765833333335</c:v>
                </c:pt>
                <c:pt idx="21">
                  <c:v>8.6479999999999997</c:v>
                </c:pt>
                <c:pt idx="22">
                  <c:v>6.6</c:v>
                </c:pt>
                <c:pt idx="23">
                  <c:v>11.094990666666664</c:v>
                </c:pt>
                <c:pt idx="24">
                  <c:v>12.072666666666668</c:v>
                </c:pt>
                <c:pt idx="25">
                  <c:v>9.2100000000000009</c:v>
                </c:pt>
                <c:pt idx="26">
                  <c:v>11.7</c:v>
                </c:pt>
                <c:pt idx="27">
                  <c:v>11.903929999999999</c:v>
                </c:pt>
                <c:pt idx="28">
                  <c:v>7.7519999999999989</c:v>
                </c:pt>
                <c:pt idx="29">
                  <c:v>14.937666666666667</c:v>
                </c:pt>
                <c:pt idx="30">
                  <c:v>15.355333333333332</c:v>
                </c:pt>
                <c:pt idx="31">
                  <c:v>15.240666666666664</c:v>
                </c:pt>
              </c:numCache>
            </c:numRef>
          </c:val>
        </c:ser>
        <c:ser>
          <c:idx val="0"/>
          <c:order val="2"/>
          <c:tx>
            <c:strRef>
              <c:f>Dom!$C$4</c:f>
              <c:strCache>
                <c:ptCount val="1"/>
                <c:pt idx="0">
                  <c:v>cargo fijo total</c:v>
                </c:pt>
              </c:strCache>
            </c:strRef>
          </c:tx>
          <c:cat>
            <c:strRef>
              <c:f>Dom!$A$5:$A$36</c:f>
              <c:strCache>
                <c:ptCount val="32"/>
                <c:pt idx="0">
                  <c:v>Campeche</c:v>
                </c:pt>
                <c:pt idx="1">
                  <c:v>Oaxaca</c:v>
                </c:pt>
                <c:pt idx="2">
                  <c:v>Mexicali</c:v>
                </c:pt>
                <c:pt idx="3">
                  <c:v>Tula de Allende</c:v>
                </c:pt>
                <c:pt idx="4">
                  <c:v>Culiacán</c:v>
                </c:pt>
                <c:pt idx="5">
                  <c:v>Tlaxcala</c:v>
                </c:pt>
                <c:pt idx="6">
                  <c:v>Distrito Federal</c:v>
                </c:pt>
                <c:pt idx="7">
                  <c:v>Hermosillo</c:v>
                </c:pt>
                <c:pt idx="8">
                  <c:v>Guadalajara</c:v>
                </c:pt>
                <c:pt idx="9">
                  <c:v>Mérida</c:v>
                </c:pt>
                <c:pt idx="10">
                  <c:v>Cancún</c:v>
                </c:pt>
                <c:pt idx="11">
                  <c:v>Chetumal</c:v>
                </c:pt>
                <c:pt idx="12">
                  <c:v>San Juan del Río</c:v>
                </c:pt>
                <c:pt idx="13">
                  <c:v>Gómez Palacio</c:v>
                </c:pt>
                <c:pt idx="14">
                  <c:v>Delicias</c:v>
                </c:pt>
                <c:pt idx="15">
                  <c:v>Juárez</c:v>
                </c:pt>
                <c:pt idx="16">
                  <c:v>Torreón</c:v>
                </c:pt>
                <c:pt idx="17">
                  <c:v>Colima</c:v>
                </c:pt>
                <c:pt idx="18">
                  <c:v>San Luis Potosí</c:v>
                </c:pt>
                <c:pt idx="19">
                  <c:v>Monterrey</c:v>
                </c:pt>
                <c:pt idx="20">
                  <c:v>Toluca</c:v>
                </c:pt>
                <c:pt idx="21">
                  <c:v>Acapulco</c:v>
                </c:pt>
                <c:pt idx="22">
                  <c:v>La Paz</c:v>
                </c:pt>
                <c:pt idx="23">
                  <c:v>Naucalpan</c:v>
                </c:pt>
                <c:pt idx="24">
                  <c:v>Ensenada</c:v>
                </c:pt>
                <c:pt idx="25">
                  <c:v>Puebla</c:v>
                </c:pt>
                <c:pt idx="26">
                  <c:v>León</c:v>
                </c:pt>
                <c:pt idx="27">
                  <c:v>Atizapán</c:v>
                </c:pt>
                <c:pt idx="28">
                  <c:v>Xalapa</c:v>
                </c:pt>
                <c:pt idx="29">
                  <c:v>Tijuana</c:v>
                </c:pt>
                <c:pt idx="30">
                  <c:v>Aguascalientes</c:v>
                </c:pt>
                <c:pt idx="31">
                  <c:v>Morelia</c:v>
                </c:pt>
              </c:strCache>
            </c:strRef>
          </c:cat>
          <c:val>
            <c:numRef>
              <c:f>Dom!$C$5:$C$36</c:f>
              <c:numCache>
                <c:formatCode>0.00</c:formatCode>
                <c:ptCount val="32"/>
                <c:pt idx="0">
                  <c:v>0.16666666666666666</c:v>
                </c:pt>
                <c:pt idx="1">
                  <c:v>0</c:v>
                </c:pt>
                <c:pt idx="2">
                  <c:v>1.242</c:v>
                </c:pt>
                <c:pt idx="3">
                  <c:v>1.84</c:v>
                </c:pt>
                <c:pt idx="4">
                  <c:v>1.3780000000000001</c:v>
                </c:pt>
                <c:pt idx="5">
                  <c:v>4.2945333333333338</c:v>
                </c:pt>
                <c:pt idx="6">
                  <c:v>0.27683333333333332</c:v>
                </c:pt>
                <c:pt idx="7">
                  <c:v>1.4004923333333332</c:v>
                </c:pt>
                <c:pt idx="8">
                  <c:v>0</c:v>
                </c:pt>
                <c:pt idx="9">
                  <c:v>3.5999999999999996</c:v>
                </c:pt>
                <c:pt idx="10">
                  <c:v>1.7391999999999999</c:v>
                </c:pt>
                <c:pt idx="11">
                  <c:v>1.7391999999999999</c:v>
                </c:pt>
                <c:pt idx="12">
                  <c:v>1.9949371450000002</c:v>
                </c:pt>
                <c:pt idx="13">
                  <c:v>6.3171200000000001</c:v>
                </c:pt>
                <c:pt idx="14">
                  <c:v>0.69480000000000008</c:v>
                </c:pt>
                <c:pt idx="15">
                  <c:v>3.5300000000000002</c:v>
                </c:pt>
                <c:pt idx="16">
                  <c:v>3.2993333333333332</c:v>
                </c:pt>
                <c:pt idx="17">
                  <c:v>2.712794366666667</c:v>
                </c:pt>
                <c:pt idx="18">
                  <c:v>0</c:v>
                </c:pt>
                <c:pt idx="19">
                  <c:v>1.4012500000000001</c:v>
                </c:pt>
                <c:pt idx="20">
                  <c:v>2.1258979</c:v>
                </c:pt>
                <c:pt idx="21">
                  <c:v>5.3800799999999995</c:v>
                </c:pt>
                <c:pt idx="22">
                  <c:v>4.9800000000000004</c:v>
                </c:pt>
                <c:pt idx="23">
                  <c:v>2.95012512</c:v>
                </c:pt>
                <c:pt idx="24">
                  <c:v>1.2576666666666665</c:v>
                </c:pt>
                <c:pt idx="25" formatCode="General">
                  <c:v>2.62</c:v>
                </c:pt>
                <c:pt idx="26">
                  <c:v>2.0773333333333333</c:v>
                </c:pt>
                <c:pt idx="27">
                  <c:v>2.0626427733333332</c:v>
                </c:pt>
                <c:pt idx="28">
                  <c:v>4.4527999999999999</c:v>
                </c:pt>
                <c:pt idx="29">
                  <c:v>1.8109999999999999</c:v>
                </c:pt>
                <c:pt idx="30">
                  <c:v>9.6968666666666667</c:v>
                </c:pt>
                <c:pt idx="31">
                  <c:v>6.0567999999999991</c:v>
                </c:pt>
              </c:numCache>
            </c:numRef>
          </c:val>
        </c:ser>
        <c:gapWidth val="75"/>
        <c:overlap val="100"/>
        <c:axId val="91877760"/>
        <c:axId val="91879296"/>
      </c:barChart>
      <c:catAx>
        <c:axId val="91877760"/>
        <c:scaling>
          <c:orientation val="minMax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Presidencia Base" pitchFamily="50" charset="0"/>
                <a:ea typeface="Calibri"/>
                <a:cs typeface="Calibri"/>
              </a:defRPr>
            </a:pPr>
            <a:endParaRPr lang="es-MX"/>
          </a:p>
        </c:txPr>
        <c:crossAx val="91879296"/>
        <c:crosses val="autoZero"/>
        <c:auto val="1"/>
        <c:lblAlgn val="ctr"/>
        <c:lblOffset val="100"/>
      </c:catAx>
      <c:valAx>
        <c:axId val="91879296"/>
        <c:scaling>
          <c:orientation val="minMax"/>
        </c:scaling>
        <c:axPos val="b"/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Presidencia Base" pitchFamily="50" charset="0"/>
                <a:ea typeface="Calibri"/>
                <a:cs typeface="Calibri"/>
              </a:defRPr>
            </a:pPr>
            <a:endParaRPr lang="es-MX"/>
          </a:p>
        </c:txPr>
        <c:crossAx val="91877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134634646627783"/>
          <c:y val="0.46513932837834521"/>
          <c:w val="0.33752766448929256"/>
          <c:h val="0.19744719994113008"/>
        </c:manualLayout>
      </c:layout>
      <c:txPr>
        <a:bodyPr/>
        <a:lstStyle/>
        <a:p>
          <a:pPr>
            <a:defRPr sz="1600" baseline="0">
              <a:latin typeface="Presidencia Firme" pitchFamily="50" charset="0"/>
            </a:defRPr>
          </a:pPr>
          <a:endParaRPr lang="es-MX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4803149606299646" l="0.70866141732283972" r="0.70866141732283972" t="0.74803149606299646" header="0.31496062992126395" footer="0.31496062992126395"/>
    <c:pageSetup paperSize="11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23746361626056586"/>
          <c:y val="3.2388930806429267E-2"/>
          <c:w val="0.72092173517680513"/>
          <c:h val="0.95111313257082863"/>
        </c:manualLayout>
      </c:layout>
      <c:barChart>
        <c:barDir val="bar"/>
        <c:grouping val="clustered"/>
        <c:ser>
          <c:idx val="2"/>
          <c:order val="0"/>
          <c:tx>
            <c:strRef>
              <c:f>'06-07'!$O$4</c:f>
              <c:strCache>
                <c:ptCount val="1"/>
                <c:pt idx="0">
                  <c:v>Industrial</c:v>
                </c:pt>
              </c:strCache>
            </c:strRef>
          </c:tx>
          <c:dLbls>
            <c:dLbl>
              <c:idx val="14"/>
              <c:layout>
                <c:manualLayout>
                  <c:x val="0"/>
                  <c:y val="6.1162075302829029E-3"/>
                </c:manualLayout>
              </c:layout>
              <c:showVal val="1"/>
            </c:dLbl>
            <c:dLbl>
              <c:idx val="15"/>
              <c:layout>
                <c:manualLayout>
                  <c:x val="0"/>
                  <c:y val="6.1162075302829714E-3"/>
                </c:manualLayout>
              </c:layout>
              <c:showVal val="1"/>
            </c:dLbl>
            <c:numFmt formatCode="#,##0.0" sourceLinked="0"/>
            <c:txPr>
              <a:bodyPr/>
              <a:lstStyle/>
              <a:p>
                <a:pPr>
                  <a:defRPr sz="1500" b="1">
                    <a:solidFill>
                      <a:srgbClr val="C00000"/>
                    </a:solidFill>
                    <a:latin typeface="Presidencia Base" pitchFamily="50" charset="0"/>
                  </a:defRPr>
                </a:pPr>
                <a:endParaRPr lang="es-MX"/>
              </a:p>
            </c:txPr>
            <c:showVal val="1"/>
          </c:dLbls>
          <c:cat>
            <c:strRef>
              <c:f>'06-07'!$L$5:$L$36</c:f>
              <c:strCache>
                <c:ptCount val="32"/>
                <c:pt idx="0">
                  <c:v>Campeche</c:v>
                </c:pt>
                <c:pt idx="1">
                  <c:v>Oaxaca</c:v>
                </c:pt>
                <c:pt idx="2">
                  <c:v>Tula de Allende</c:v>
                </c:pt>
                <c:pt idx="3">
                  <c:v>Juárez</c:v>
                </c:pt>
                <c:pt idx="4">
                  <c:v>Colima</c:v>
                </c:pt>
                <c:pt idx="5">
                  <c:v>Mérida</c:v>
                </c:pt>
                <c:pt idx="6">
                  <c:v>Culiacán</c:v>
                </c:pt>
                <c:pt idx="7">
                  <c:v>Mexicali</c:v>
                </c:pt>
                <c:pt idx="8">
                  <c:v>Hermosillo</c:v>
                </c:pt>
                <c:pt idx="9">
                  <c:v>Tlaxcala</c:v>
                </c:pt>
                <c:pt idx="10">
                  <c:v>San Juan del Río</c:v>
                </c:pt>
                <c:pt idx="11">
                  <c:v>Delicias</c:v>
                </c:pt>
                <c:pt idx="12">
                  <c:v>Distrito Federal</c:v>
                </c:pt>
                <c:pt idx="13">
                  <c:v>Guadalajara</c:v>
                </c:pt>
                <c:pt idx="14">
                  <c:v>Cancún</c:v>
                </c:pt>
                <c:pt idx="15">
                  <c:v>Chetumal</c:v>
                </c:pt>
                <c:pt idx="16">
                  <c:v>Gómez Palacio</c:v>
                </c:pt>
                <c:pt idx="17">
                  <c:v>La Paz</c:v>
                </c:pt>
                <c:pt idx="18">
                  <c:v>Torreón</c:v>
                </c:pt>
                <c:pt idx="19">
                  <c:v>San Luis Potosí</c:v>
                </c:pt>
                <c:pt idx="20">
                  <c:v>Monterrey</c:v>
                </c:pt>
                <c:pt idx="21">
                  <c:v>Xalapa</c:v>
                </c:pt>
                <c:pt idx="22">
                  <c:v>Toluca</c:v>
                </c:pt>
                <c:pt idx="23">
                  <c:v>Acapulco</c:v>
                </c:pt>
                <c:pt idx="24">
                  <c:v>Puebla</c:v>
                </c:pt>
                <c:pt idx="25">
                  <c:v>Naucalpan</c:v>
                </c:pt>
                <c:pt idx="26">
                  <c:v>León</c:v>
                </c:pt>
                <c:pt idx="27">
                  <c:v>Atizapán</c:v>
                </c:pt>
                <c:pt idx="28">
                  <c:v>Ensenada</c:v>
                </c:pt>
                <c:pt idx="29">
                  <c:v>Tijuana</c:v>
                </c:pt>
                <c:pt idx="30">
                  <c:v>Morelia</c:v>
                </c:pt>
                <c:pt idx="31">
                  <c:v>Aguascalientes</c:v>
                </c:pt>
              </c:strCache>
            </c:strRef>
          </c:cat>
          <c:val>
            <c:numRef>
              <c:f>'06-07'!$O$5:$O$36</c:f>
              <c:numCache>
                <c:formatCode>0.00</c:formatCode>
                <c:ptCount val="32"/>
                <c:pt idx="0">
                  <c:v>2.4</c:v>
                </c:pt>
                <c:pt idx="1">
                  <c:v>11.4</c:v>
                </c:pt>
                <c:pt idx="2">
                  <c:v>14.17</c:v>
                </c:pt>
                <c:pt idx="3">
                  <c:v>3.91</c:v>
                </c:pt>
                <c:pt idx="4">
                  <c:v>5.0720170333333332</c:v>
                </c:pt>
                <c:pt idx="5">
                  <c:v>5.666666666666667</c:v>
                </c:pt>
                <c:pt idx="6">
                  <c:v>8.761333333333333</c:v>
                </c:pt>
                <c:pt idx="7">
                  <c:v>25.977333333333334</c:v>
                </c:pt>
                <c:pt idx="8">
                  <c:v>17.544999999999998</c:v>
                </c:pt>
                <c:pt idx="9">
                  <c:v>20.736708333333336</c:v>
                </c:pt>
                <c:pt idx="10">
                  <c:v>17.316666666666666</c:v>
                </c:pt>
                <c:pt idx="11">
                  <c:v>8.3000000000000007</c:v>
                </c:pt>
                <c:pt idx="12">
                  <c:v>20.164166666666667</c:v>
                </c:pt>
                <c:pt idx="13">
                  <c:v>11.658666666666667</c:v>
                </c:pt>
                <c:pt idx="14">
                  <c:v>6.7669999999999995</c:v>
                </c:pt>
                <c:pt idx="15">
                  <c:v>6.7669999999999995</c:v>
                </c:pt>
                <c:pt idx="16">
                  <c:v>22.36</c:v>
                </c:pt>
                <c:pt idx="17">
                  <c:v>16.18</c:v>
                </c:pt>
                <c:pt idx="18">
                  <c:v>13.31</c:v>
                </c:pt>
                <c:pt idx="19">
                  <c:v>15.45</c:v>
                </c:pt>
                <c:pt idx="20">
                  <c:v>11.221133333333334</c:v>
                </c:pt>
                <c:pt idx="21">
                  <c:v>9.8800000000000008</c:v>
                </c:pt>
                <c:pt idx="22">
                  <c:v>15.713836000000002</c:v>
                </c:pt>
                <c:pt idx="23">
                  <c:v>23.318666666666665</c:v>
                </c:pt>
                <c:pt idx="24">
                  <c:v>11.32</c:v>
                </c:pt>
                <c:pt idx="25">
                  <c:v>19.16346866666667</c:v>
                </c:pt>
                <c:pt idx="26">
                  <c:v>24.173333333333332</c:v>
                </c:pt>
                <c:pt idx="27">
                  <c:v>24.287177333333329</c:v>
                </c:pt>
                <c:pt idx="28">
                  <c:v>38.144333333333336</c:v>
                </c:pt>
                <c:pt idx="29">
                  <c:v>37.363999999999997</c:v>
                </c:pt>
                <c:pt idx="30">
                  <c:v>24.973333333333336</c:v>
                </c:pt>
                <c:pt idx="31">
                  <c:v>29.421333333333337</c:v>
                </c:pt>
              </c:numCache>
            </c:numRef>
          </c:val>
        </c:ser>
        <c:ser>
          <c:idx val="1"/>
          <c:order val="1"/>
          <c:tx>
            <c:strRef>
              <c:f>'06-07'!$N$4</c:f>
              <c:strCache>
                <c:ptCount val="1"/>
                <c:pt idx="0">
                  <c:v>Comercial</c:v>
                </c:pt>
              </c:strCache>
            </c:strRef>
          </c:tx>
          <c:dLbls>
            <c:dLbl>
              <c:idx val="0"/>
              <c:layout>
                <c:manualLayout>
                  <c:x val="-6.7681895093062603E-3"/>
                  <c:y val="1.6497937757780277E-2"/>
                </c:manualLayout>
              </c:layout>
              <c:dLblPos val="inEnd"/>
              <c:showVal val="1"/>
            </c:dLbl>
            <c:dLbl>
              <c:idx val="1"/>
              <c:layout>
                <c:manualLayout>
                  <c:x val="0"/>
                  <c:y val="5.9992500937384122E-3"/>
                </c:manualLayout>
              </c:layout>
              <c:dLblPos val="inEnd"/>
              <c:showVal val="1"/>
            </c:dLbl>
            <c:dLbl>
              <c:idx val="2"/>
              <c:layout>
                <c:manualLayout>
                  <c:x val="-5.9097195527724494E-2"/>
                  <c:y val="3.5603023762004827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6.7681895093062603E-3"/>
                  <c:y val="1.0498569568568122E-2"/>
                </c:manualLayout>
              </c:layout>
              <c:dLblPos val="inEnd"/>
              <c:showVal val="1"/>
            </c:dLbl>
            <c:dLbl>
              <c:idx val="4"/>
              <c:layout>
                <c:manualLayout>
                  <c:x val="-6.5396408126149802E-2"/>
                  <c:y val="7.1206047524009436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6.7496145658957979E-2"/>
                  <c:y val="6.230529158350844E-3"/>
                </c:manualLayout>
              </c:layout>
              <c:dLblPos val="outEnd"/>
              <c:showVal val="1"/>
            </c:dLbl>
            <c:numFmt formatCode="#,##0.0" sourceLinked="0"/>
            <c:txPr>
              <a:bodyPr/>
              <a:lstStyle/>
              <a:p>
                <a:pPr>
                  <a:defRPr sz="1500" b="1">
                    <a:latin typeface="Presidencia Base" pitchFamily="50" charset="0"/>
                  </a:defRPr>
                </a:pPr>
                <a:endParaRPr lang="es-MX"/>
              </a:p>
            </c:txPr>
            <c:dLblPos val="inEnd"/>
            <c:showVal val="1"/>
          </c:dLbls>
          <c:cat>
            <c:strRef>
              <c:f>'06-07'!$L$5:$L$36</c:f>
              <c:strCache>
                <c:ptCount val="32"/>
                <c:pt idx="0">
                  <c:v>Campeche</c:v>
                </c:pt>
                <c:pt idx="1">
                  <c:v>Oaxaca</c:v>
                </c:pt>
                <c:pt idx="2">
                  <c:v>Tula de Allende</c:v>
                </c:pt>
                <c:pt idx="3">
                  <c:v>Juárez</c:v>
                </c:pt>
                <c:pt idx="4">
                  <c:v>Colima</c:v>
                </c:pt>
                <c:pt idx="5">
                  <c:v>Mérida</c:v>
                </c:pt>
                <c:pt idx="6">
                  <c:v>Culiacán</c:v>
                </c:pt>
                <c:pt idx="7">
                  <c:v>Mexicali</c:v>
                </c:pt>
                <c:pt idx="8">
                  <c:v>Hermosillo</c:v>
                </c:pt>
                <c:pt idx="9">
                  <c:v>Tlaxcala</c:v>
                </c:pt>
                <c:pt idx="10">
                  <c:v>San Juan del Río</c:v>
                </c:pt>
                <c:pt idx="11">
                  <c:v>Delicias</c:v>
                </c:pt>
                <c:pt idx="12">
                  <c:v>Distrito Federal</c:v>
                </c:pt>
                <c:pt idx="13">
                  <c:v>Guadalajara</c:v>
                </c:pt>
                <c:pt idx="14">
                  <c:v>Cancún</c:v>
                </c:pt>
                <c:pt idx="15">
                  <c:v>Chetumal</c:v>
                </c:pt>
                <c:pt idx="16">
                  <c:v>Gómez Palacio</c:v>
                </c:pt>
                <c:pt idx="17">
                  <c:v>La Paz</c:v>
                </c:pt>
                <c:pt idx="18">
                  <c:v>Torreón</c:v>
                </c:pt>
                <c:pt idx="19">
                  <c:v>San Luis Potosí</c:v>
                </c:pt>
                <c:pt idx="20">
                  <c:v>Monterrey</c:v>
                </c:pt>
                <c:pt idx="21">
                  <c:v>Xalapa</c:v>
                </c:pt>
                <c:pt idx="22">
                  <c:v>Toluca</c:v>
                </c:pt>
                <c:pt idx="23">
                  <c:v>Acapulco</c:v>
                </c:pt>
                <c:pt idx="24">
                  <c:v>Puebla</c:v>
                </c:pt>
                <c:pt idx="25">
                  <c:v>Naucalpan</c:v>
                </c:pt>
                <c:pt idx="26">
                  <c:v>León</c:v>
                </c:pt>
                <c:pt idx="27">
                  <c:v>Atizapán</c:v>
                </c:pt>
                <c:pt idx="28">
                  <c:v>Ensenada</c:v>
                </c:pt>
                <c:pt idx="29">
                  <c:v>Tijuana</c:v>
                </c:pt>
                <c:pt idx="30">
                  <c:v>Morelia</c:v>
                </c:pt>
                <c:pt idx="31">
                  <c:v>Aguascalientes</c:v>
                </c:pt>
              </c:strCache>
            </c:strRef>
          </c:cat>
          <c:val>
            <c:numRef>
              <c:f>'06-07'!$N$5:$N$36</c:f>
              <c:numCache>
                <c:formatCode>0.00</c:formatCode>
                <c:ptCount val="32"/>
                <c:pt idx="0">
                  <c:v>2.4</c:v>
                </c:pt>
                <c:pt idx="1">
                  <c:v>6.25</c:v>
                </c:pt>
                <c:pt idx="2">
                  <c:v>6.416666666666667</c:v>
                </c:pt>
                <c:pt idx="3">
                  <c:v>3.6</c:v>
                </c:pt>
                <c:pt idx="4">
                  <c:v>5.0720170333333332</c:v>
                </c:pt>
                <c:pt idx="5">
                  <c:v>5.666666666666667</c:v>
                </c:pt>
                <c:pt idx="6">
                  <c:v>7.0159999999999991</c:v>
                </c:pt>
                <c:pt idx="7">
                  <c:v>25.977333333333334</c:v>
                </c:pt>
                <c:pt idx="8">
                  <c:v>17.544999999999998</c:v>
                </c:pt>
                <c:pt idx="9">
                  <c:v>20.736708333333336</c:v>
                </c:pt>
                <c:pt idx="10">
                  <c:v>10.639360000000002</c:v>
                </c:pt>
                <c:pt idx="11">
                  <c:v>6.98</c:v>
                </c:pt>
                <c:pt idx="12">
                  <c:v>20.163333333333334</c:v>
                </c:pt>
                <c:pt idx="13">
                  <c:v>11.658666666666667</c:v>
                </c:pt>
                <c:pt idx="14">
                  <c:v>12.84</c:v>
                </c:pt>
                <c:pt idx="15">
                  <c:v>12.84</c:v>
                </c:pt>
                <c:pt idx="16">
                  <c:v>17.37</c:v>
                </c:pt>
                <c:pt idx="17">
                  <c:v>13.56</c:v>
                </c:pt>
                <c:pt idx="18">
                  <c:v>13.22</c:v>
                </c:pt>
                <c:pt idx="19">
                  <c:v>11.07</c:v>
                </c:pt>
                <c:pt idx="20">
                  <c:v>11.221133333333334</c:v>
                </c:pt>
                <c:pt idx="21">
                  <c:v>8.7799999999999994</c:v>
                </c:pt>
                <c:pt idx="22">
                  <c:v>15.711062735833334</c:v>
                </c:pt>
                <c:pt idx="23">
                  <c:v>23.318666666666665</c:v>
                </c:pt>
                <c:pt idx="24">
                  <c:v>11.32</c:v>
                </c:pt>
                <c:pt idx="25">
                  <c:v>18.722967999999998</c:v>
                </c:pt>
                <c:pt idx="26">
                  <c:v>24.173333333333332</c:v>
                </c:pt>
                <c:pt idx="27">
                  <c:v>24.287177333333329</c:v>
                </c:pt>
                <c:pt idx="28">
                  <c:v>38.144333333333336</c:v>
                </c:pt>
                <c:pt idx="29">
                  <c:v>37.363999999999997</c:v>
                </c:pt>
                <c:pt idx="30">
                  <c:v>19.410999999999998</c:v>
                </c:pt>
                <c:pt idx="31">
                  <c:v>22.886666666666663</c:v>
                </c:pt>
              </c:numCache>
            </c:numRef>
          </c:val>
        </c:ser>
        <c:ser>
          <c:idx val="0"/>
          <c:order val="2"/>
          <c:tx>
            <c:strRef>
              <c:f>'06-07'!$M$4</c:f>
              <c:strCache>
                <c:ptCount val="1"/>
                <c:pt idx="0">
                  <c:v>Doméstico</c:v>
                </c:pt>
              </c:strCache>
            </c:strRef>
          </c:tx>
          <c:dLbls>
            <c:dLbl>
              <c:idx val="0"/>
              <c:numFmt formatCode="#,##0.0" sourceLinked="0"/>
              <c:spPr/>
              <c:txPr>
                <a:bodyPr/>
                <a:lstStyle/>
                <a:p>
                  <a:pPr>
                    <a:defRPr sz="1500" b="1">
                      <a:solidFill>
                        <a:sysClr val="windowText" lastClr="000000"/>
                      </a:solidFill>
                      <a:latin typeface="Presidencia Base" pitchFamily="50" charset="0"/>
                    </a:defRPr>
                  </a:pPr>
                  <a:endParaRPr lang="es-MX"/>
                </a:p>
              </c:txPr>
            </c:dLbl>
            <c:dLbl>
              <c:idx val="1"/>
              <c:numFmt formatCode="#,##0.0" sourceLinked="0"/>
              <c:spPr/>
              <c:txPr>
                <a:bodyPr/>
                <a:lstStyle/>
                <a:p>
                  <a:pPr>
                    <a:defRPr sz="1500" b="1">
                      <a:solidFill>
                        <a:sysClr val="windowText" lastClr="000000"/>
                      </a:solidFill>
                      <a:latin typeface="Presidencia Base" pitchFamily="50" charset="0"/>
                    </a:defRPr>
                  </a:pPr>
                  <a:endParaRPr lang="es-MX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500" b="1">
                    <a:solidFill>
                      <a:schemeClr val="bg1"/>
                    </a:solidFill>
                    <a:latin typeface="Presidencia Base" pitchFamily="50" charset="0"/>
                  </a:defRPr>
                </a:pPr>
                <a:endParaRPr lang="es-MX"/>
              </a:p>
            </c:txPr>
            <c:dLblPos val="inBase"/>
            <c:showVal val="1"/>
          </c:dLbls>
          <c:cat>
            <c:strRef>
              <c:f>'06-07'!$L$5:$L$36</c:f>
              <c:strCache>
                <c:ptCount val="32"/>
                <c:pt idx="0">
                  <c:v>Campeche</c:v>
                </c:pt>
                <c:pt idx="1">
                  <c:v>Oaxaca</c:v>
                </c:pt>
                <c:pt idx="2">
                  <c:v>Tula de Allende</c:v>
                </c:pt>
                <c:pt idx="3">
                  <c:v>Juárez</c:v>
                </c:pt>
                <c:pt idx="4">
                  <c:v>Colima</c:v>
                </c:pt>
                <c:pt idx="5">
                  <c:v>Mérida</c:v>
                </c:pt>
                <c:pt idx="6">
                  <c:v>Culiacán</c:v>
                </c:pt>
                <c:pt idx="7">
                  <c:v>Mexicali</c:v>
                </c:pt>
                <c:pt idx="8">
                  <c:v>Hermosillo</c:v>
                </c:pt>
                <c:pt idx="9">
                  <c:v>Tlaxcala</c:v>
                </c:pt>
                <c:pt idx="10">
                  <c:v>San Juan del Río</c:v>
                </c:pt>
                <c:pt idx="11">
                  <c:v>Delicias</c:v>
                </c:pt>
                <c:pt idx="12">
                  <c:v>Distrito Federal</c:v>
                </c:pt>
                <c:pt idx="13">
                  <c:v>Guadalajara</c:v>
                </c:pt>
                <c:pt idx="14">
                  <c:v>Cancún</c:v>
                </c:pt>
                <c:pt idx="15">
                  <c:v>Chetumal</c:v>
                </c:pt>
                <c:pt idx="16">
                  <c:v>Gómez Palacio</c:v>
                </c:pt>
                <c:pt idx="17">
                  <c:v>La Paz</c:v>
                </c:pt>
                <c:pt idx="18">
                  <c:v>Torreón</c:v>
                </c:pt>
                <c:pt idx="19">
                  <c:v>San Luis Potosí</c:v>
                </c:pt>
                <c:pt idx="20">
                  <c:v>Monterrey</c:v>
                </c:pt>
                <c:pt idx="21">
                  <c:v>Xalapa</c:v>
                </c:pt>
                <c:pt idx="22">
                  <c:v>Toluca</c:v>
                </c:pt>
                <c:pt idx="23">
                  <c:v>Acapulco</c:v>
                </c:pt>
                <c:pt idx="24">
                  <c:v>Puebla</c:v>
                </c:pt>
                <c:pt idx="25">
                  <c:v>Naucalpan</c:v>
                </c:pt>
                <c:pt idx="26">
                  <c:v>León</c:v>
                </c:pt>
                <c:pt idx="27">
                  <c:v>Atizapán</c:v>
                </c:pt>
                <c:pt idx="28">
                  <c:v>Ensenada</c:v>
                </c:pt>
                <c:pt idx="29">
                  <c:v>Tijuana</c:v>
                </c:pt>
                <c:pt idx="30">
                  <c:v>Morelia</c:v>
                </c:pt>
                <c:pt idx="31">
                  <c:v>Aguascalientes</c:v>
                </c:pt>
              </c:strCache>
            </c:strRef>
          </c:cat>
          <c:val>
            <c:numRef>
              <c:f>'06-07'!$M$5:$M$36</c:f>
              <c:numCache>
                <c:formatCode>0.00</c:formatCode>
                <c:ptCount val="32"/>
                <c:pt idx="0">
                  <c:v>1.6</c:v>
                </c:pt>
                <c:pt idx="1">
                  <c:v>2.74</c:v>
                </c:pt>
                <c:pt idx="2">
                  <c:v>3.7666666666666666</c:v>
                </c:pt>
                <c:pt idx="3">
                  <c:v>3.79</c:v>
                </c:pt>
                <c:pt idx="4">
                  <c:v>3.8</c:v>
                </c:pt>
                <c:pt idx="5">
                  <c:v>3.9</c:v>
                </c:pt>
                <c:pt idx="6">
                  <c:v>3.9583333333333339</c:v>
                </c:pt>
                <c:pt idx="7">
                  <c:v>4.0269999999999992</c:v>
                </c:pt>
                <c:pt idx="8">
                  <c:v>4.0560000000000009</c:v>
                </c:pt>
                <c:pt idx="9">
                  <c:v>4.2945333333333338</c:v>
                </c:pt>
                <c:pt idx="10">
                  <c:v>5.0943901666666669</c:v>
                </c:pt>
                <c:pt idx="11">
                  <c:v>5.13</c:v>
                </c:pt>
                <c:pt idx="12">
                  <c:v>5.2553333333333336</c:v>
                </c:pt>
                <c:pt idx="13">
                  <c:v>5.5583333333333336</c:v>
                </c:pt>
                <c:pt idx="14">
                  <c:v>5.7853333333333339</c:v>
                </c:pt>
                <c:pt idx="15">
                  <c:v>5.7853333333333339</c:v>
                </c:pt>
                <c:pt idx="16">
                  <c:v>6.4750480000000001</c:v>
                </c:pt>
                <c:pt idx="17">
                  <c:v>6.6</c:v>
                </c:pt>
                <c:pt idx="18">
                  <c:v>6.65</c:v>
                </c:pt>
                <c:pt idx="19">
                  <c:v>6.95</c:v>
                </c:pt>
                <c:pt idx="20">
                  <c:v>7.6210000000000004</c:v>
                </c:pt>
                <c:pt idx="21">
                  <c:v>7.75</c:v>
                </c:pt>
                <c:pt idx="22">
                  <c:v>8.0107765833333335</c:v>
                </c:pt>
                <c:pt idx="23">
                  <c:v>8.6479999999999997</c:v>
                </c:pt>
                <c:pt idx="24">
                  <c:v>9.1999999999999993</c:v>
                </c:pt>
                <c:pt idx="25">
                  <c:v>11.094990666666666</c:v>
                </c:pt>
                <c:pt idx="26">
                  <c:v>11.7</c:v>
                </c:pt>
                <c:pt idx="27">
                  <c:v>11.901127893333332</c:v>
                </c:pt>
                <c:pt idx="28">
                  <c:v>12.072666666666668</c:v>
                </c:pt>
                <c:pt idx="29">
                  <c:v>14.937666666666667</c:v>
                </c:pt>
                <c:pt idx="30">
                  <c:v>15.24</c:v>
                </c:pt>
                <c:pt idx="31">
                  <c:v>15.355333333333332</c:v>
                </c:pt>
              </c:numCache>
            </c:numRef>
          </c:val>
        </c:ser>
        <c:dLbls>
          <c:showVal val="1"/>
        </c:dLbls>
        <c:gapWidth val="82"/>
        <c:overlap val="52"/>
        <c:axId val="91931776"/>
        <c:axId val="91933312"/>
      </c:barChart>
      <c:catAx>
        <c:axId val="91931776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Presidencia Base" pitchFamily="50" charset="0"/>
                <a:ea typeface="Calibri"/>
                <a:cs typeface="Calibri"/>
              </a:defRPr>
            </a:pPr>
            <a:endParaRPr lang="es-MX"/>
          </a:p>
        </c:txPr>
        <c:crossAx val="91933312"/>
        <c:crosses val="autoZero"/>
        <c:auto val="1"/>
        <c:lblAlgn val="ctr"/>
        <c:lblOffset val="100"/>
        <c:tickLblSkip val="1"/>
        <c:tickMarkSkip val="1"/>
      </c:catAx>
      <c:valAx>
        <c:axId val="91933312"/>
        <c:scaling>
          <c:orientation val="minMax"/>
        </c:scaling>
        <c:delete val="1"/>
        <c:axPos val="b"/>
        <c:numFmt formatCode="0.00" sourceLinked="1"/>
        <c:tickLblPos val="none"/>
        <c:crossAx val="91931776"/>
        <c:crosses val="autoZero"/>
        <c:crossBetween val="between"/>
        <c:majorUnit val="5"/>
        <c:minorUnit val="5"/>
      </c:valAx>
    </c:plotArea>
    <c:legend>
      <c:legendPos val="t"/>
      <c:layout>
        <c:manualLayout>
          <c:xMode val="edge"/>
          <c:yMode val="edge"/>
          <c:x val="0.71693530694451379"/>
          <c:y val="0.52793400824896886"/>
          <c:w val="0.22038752770116932"/>
          <c:h val="0.22150990968648604"/>
        </c:manualLayout>
      </c:layout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Presidencia Base" pitchFamily="50" charset="0"/>
              <a:ea typeface="Calibri"/>
              <a:cs typeface="Calibri"/>
            </a:defRPr>
          </a:pPr>
          <a:endParaRPr lang="es-MX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255" r="0.75000000000001255" t="1" header="0" footer="0"/>
    <c:pageSetup paperSize="119"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>
        <c:manualLayout>
          <c:layoutTarget val="inner"/>
          <c:xMode val="edge"/>
          <c:yMode val="edge"/>
          <c:x val="0.10615261044176706"/>
          <c:y val="6.6049816668420747E-2"/>
          <c:w val="0.85009480441454222"/>
          <c:h val="0.58960020503858668"/>
        </c:manualLayout>
      </c:layout>
      <c:barChart>
        <c:barDir val="col"/>
        <c:grouping val="clustered"/>
        <c:ser>
          <c:idx val="0"/>
          <c:order val="0"/>
          <c:tx>
            <c:strRef>
              <c:f>'g 5.1'!$C$4</c:f>
              <c:strCache>
                <c:ptCount val="1"/>
                <c:pt idx="0">
                  <c:v>ASIGNACIÓN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/>
          </c:spPr>
          <c:dLbls>
            <c:txPr>
              <a:bodyPr/>
              <a:lstStyle/>
              <a:p>
                <a:pPr>
                  <a:defRPr sz="1200" b="0">
                    <a:solidFill>
                      <a:sysClr val="windowText" lastClr="000000"/>
                    </a:solidFill>
                    <a:latin typeface="Presidencia Firme" pitchFamily="50" charset="0"/>
                  </a:defRPr>
                </a:pPr>
                <a:endParaRPr lang="es-MX"/>
              </a:p>
            </c:txPr>
            <c:showVal val="1"/>
          </c:dLbls>
          <c:cat>
            <c:strRef>
              <c:f>'g 5.1'!$B$5:$B$23</c:f>
              <c:strCache>
                <c:ptCount val="19"/>
                <c:pt idx="0">
                  <c:v>Cuencas Centrales del Norte</c:v>
                </c:pt>
                <c:pt idx="1">
                  <c:v>Michoacán de Ocampo</c:v>
                </c:pt>
                <c:pt idx="2">
                  <c:v>Balsas</c:v>
                </c:pt>
                <c:pt idx="3">
                  <c:v>Puebla</c:v>
                </c:pt>
                <c:pt idx="4">
                  <c:v>San Luis Potosí</c:v>
                </c:pt>
                <c:pt idx="5">
                  <c:v>Querétaro de Arteaga</c:v>
                </c:pt>
                <c:pt idx="6">
                  <c:v>Noroeste</c:v>
                </c:pt>
                <c:pt idx="7">
                  <c:v>Hidalgo</c:v>
                </c:pt>
                <c:pt idx="8">
                  <c:v>Tlaxcala</c:v>
                </c:pt>
                <c:pt idx="9">
                  <c:v>Chihuahua</c:v>
                </c:pt>
                <c:pt idx="10">
                  <c:v>Aguas del Valle de México</c:v>
                </c:pt>
                <c:pt idx="11">
                  <c:v>México</c:v>
                </c:pt>
                <c:pt idx="12">
                  <c:v>Nayarit</c:v>
                </c:pt>
                <c:pt idx="13">
                  <c:v>Coahuila</c:v>
                </c:pt>
                <c:pt idx="14">
                  <c:v>Península de Baja California</c:v>
                </c:pt>
                <c:pt idx="15">
                  <c:v>Frontera Sur</c:v>
                </c:pt>
                <c:pt idx="16">
                  <c:v>Guanajuato</c:v>
                </c:pt>
                <c:pt idx="17">
                  <c:v>Guerrero</c:v>
                </c:pt>
                <c:pt idx="18">
                  <c:v>Zacatecas</c:v>
                </c:pt>
              </c:strCache>
            </c:strRef>
          </c:cat>
          <c:val>
            <c:numRef>
              <c:f>'g 5.1'!$C$5:$C$23</c:f>
              <c:numCache>
                <c:formatCode>#\ ###\ ###\ ##0.0\ \ </c:formatCode>
                <c:ptCount val="19"/>
                <c:pt idx="0">
                  <c:v>1.033847</c:v>
                </c:pt>
                <c:pt idx="1">
                  <c:v>5.4</c:v>
                </c:pt>
                <c:pt idx="2">
                  <c:v>1.2</c:v>
                </c:pt>
                <c:pt idx="3">
                  <c:v>12.7</c:v>
                </c:pt>
                <c:pt idx="4">
                  <c:v>6.1</c:v>
                </c:pt>
                <c:pt idx="5">
                  <c:v>7.6</c:v>
                </c:pt>
                <c:pt idx="6">
                  <c:v>3.1</c:v>
                </c:pt>
                <c:pt idx="7">
                  <c:v>1.5</c:v>
                </c:pt>
                <c:pt idx="8">
                  <c:v>0.9</c:v>
                </c:pt>
                <c:pt idx="9">
                  <c:v>8.4</c:v>
                </c:pt>
                <c:pt idx="10">
                  <c:v>0.1</c:v>
                </c:pt>
                <c:pt idx="11">
                  <c:v>0.2</c:v>
                </c:pt>
                <c:pt idx="12">
                  <c:v>2.4</c:v>
                </c:pt>
                <c:pt idx="13">
                  <c:v>0.8</c:v>
                </c:pt>
                <c:pt idx="14">
                  <c:v>9.5</c:v>
                </c:pt>
                <c:pt idx="15">
                  <c:v>5.4</c:v>
                </c:pt>
                <c:pt idx="16">
                  <c:v>2.6</c:v>
                </c:pt>
                <c:pt idx="17">
                  <c:v>2.1</c:v>
                </c:pt>
                <c:pt idx="18">
                  <c:v>8.5</c:v>
                </c:pt>
              </c:numCache>
            </c:numRef>
          </c:val>
        </c:ser>
        <c:gapWidth val="98"/>
        <c:axId val="92308992"/>
        <c:axId val="92310528"/>
      </c:barChart>
      <c:catAx>
        <c:axId val="92308992"/>
        <c:scaling>
          <c:orientation val="minMax"/>
        </c:scaling>
        <c:axPos val="b"/>
        <c:numFmt formatCode="General" sourceLinked="1"/>
        <c:tickLblPos val="low"/>
        <c:txPr>
          <a:bodyPr rot="-2700000"/>
          <a:lstStyle/>
          <a:p>
            <a:pPr>
              <a:defRPr sz="1000" b="1" baseline="0">
                <a:solidFill>
                  <a:sysClr val="windowText" lastClr="000000"/>
                </a:solidFill>
                <a:latin typeface="Presidencia Base" pitchFamily="50" charset="0"/>
              </a:defRPr>
            </a:pPr>
            <a:endParaRPr lang="es-MX"/>
          </a:p>
        </c:txPr>
        <c:crossAx val="92310528"/>
        <c:crosses val="autoZero"/>
        <c:auto val="1"/>
        <c:lblAlgn val="ctr"/>
        <c:lblOffset val="100"/>
      </c:catAx>
      <c:valAx>
        <c:axId val="923105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100" b="0">
                    <a:latin typeface="Presidencia Base" pitchFamily="50" charset="0"/>
                  </a:defRPr>
                </a:pPr>
                <a:r>
                  <a:rPr lang="es-MX" sz="1100" b="0">
                    <a:latin typeface="Presidencia Base" pitchFamily="50" charset="0"/>
                  </a:rPr>
                  <a:t>Millones de pesos</a:t>
                </a:r>
              </a:p>
            </c:rich>
          </c:tx>
          <c:layout>
            <c:manualLayout>
              <c:xMode val="edge"/>
              <c:yMode val="edge"/>
              <c:x val="3.5341365461847671E-2"/>
              <c:y val="0.25006699665897481"/>
            </c:manualLayout>
          </c:layout>
        </c:title>
        <c:numFmt formatCode="#\ ##0" sourceLinked="0"/>
        <c:tickLblPos val="nextTo"/>
        <c:txPr>
          <a:bodyPr/>
          <a:lstStyle/>
          <a:p>
            <a:pPr>
              <a:defRPr sz="1000" b="0">
                <a:solidFill>
                  <a:srgbClr val="006600"/>
                </a:solidFill>
                <a:latin typeface="Presidencia Base" pitchFamily="50" charset="0"/>
              </a:defRPr>
            </a:pPr>
            <a:endParaRPr lang="es-MX"/>
          </a:p>
        </c:txPr>
        <c:crossAx val="92308992"/>
        <c:crosses val="autoZero"/>
        <c:crossBetween val="between"/>
      </c:valAx>
      <c:spPr>
        <a:ln>
          <a:solidFill>
            <a:schemeClr val="accent1"/>
          </a:solidFill>
        </a:ln>
      </c:spPr>
    </c:plotArea>
    <c:plotVisOnly val="1"/>
  </c:chart>
  <c:spPr>
    <a:ln>
      <a:noFill/>
    </a:ln>
  </c:spPr>
  <c:txPr>
    <a:bodyPr/>
    <a:lstStyle/>
    <a:p>
      <a:pPr>
        <a:defRPr>
          <a:latin typeface="Presidencia Fina" pitchFamily="50" charset="0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 paperSize="119"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>
        <c:manualLayout>
          <c:layoutTarget val="inner"/>
          <c:xMode val="edge"/>
          <c:yMode val="edge"/>
          <c:x val="0.10615261044176706"/>
          <c:y val="7.1947478713701912E-2"/>
          <c:w val="0.84523789819027162"/>
          <c:h val="0.60506795871678032"/>
        </c:manualLayout>
      </c:layout>
      <c:barChart>
        <c:barDir val="col"/>
        <c:grouping val="clustered"/>
        <c:ser>
          <c:idx val="0"/>
          <c:order val="0"/>
          <c:tx>
            <c:strRef>
              <c:f>'g 5.2'!$C$4</c:f>
              <c:strCache>
                <c:ptCount val="1"/>
                <c:pt idx="0">
                  <c:v>CONDONACIÓN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/>
          </c:spPr>
          <c:dLbls>
            <c:txPr>
              <a:bodyPr/>
              <a:lstStyle/>
              <a:p>
                <a:pPr>
                  <a:defRPr sz="1300">
                    <a:latin typeface="Presidencia Firme" pitchFamily="50" charset="0"/>
                  </a:defRPr>
                </a:pPr>
                <a:endParaRPr lang="es-MX"/>
              </a:p>
            </c:txPr>
            <c:showVal val="1"/>
          </c:dLbls>
          <c:cat>
            <c:strRef>
              <c:f>'g 5.2'!$B$5:$B$23</c:f>
              <c:strCache>
                <c:ptCount val="19"/>
                <c:pt idx="0">
                  <c:v>Cuencas Centrales del Norte</c:v>
                </c:pt>
                <c:pt idx="1">
                  <c:v>Michoacán de Ocampo</c:v>
                </c:pt>
                <c:pt idx="2">
                  <c:v>Balsas</c:v>
                </c:pt>
                <c:pt idx="3">
                  <c:v>Puebla</c:v>
                </c:pt>
                <c:pt idx="4">
                  <c:v>San Luis Potosí</c:v>
                </c:pt>
                <c:pt idx="5">
                  <c:v>Querétaro de Arteaga</c:v>
                </c:pt>
                <c:pt idx="6">
                  <c:v>Noroeste</c:v>
                </c:pt>
                <c:pt idx="7">
                  <c:v>Hidalgo</c:v>
                </c:pt>
                <c:pt idx="8">
                  <c:v>Tlaxcala</c:v>
                </c:pt>
                <c:pt idx="9">
                  <c:v>Chihuahua</c:v>
                </c:pt>
                <c:pt idx="10">
                  <c:v>Aguas del Valle de México</c:v>
                </c:pt>
                <c:pt idx="11">
                  <c:v>México</c:v>
                </c:pt>
                <c:pt idx="12">
                  <c:v>Nayarit</c:v>
                </c:pt>
                <c:pt idx="13">
                  <c:v>Coahuila</c:v>
                </c:pt>
                <c:pt idx="14">
                  <c:v>Península de Baja California</c:v>
                </c:pt>
                <c:pt idx="15">
                  <c:v>Frontera Sur</c:v>
                </c:pt>
                <c:pt idx="16">
                  <c:v>Guanajuato</c:v>
                </c:pt>
                <c:pt idx="17">
                  <c:v>Guerrero</c:v>
                </c:pt>
                <c:pt idx="18">
                  <c:v>Zacatecas</c:v>
                </c:pt>
              </c:strCache>
            </c:strRef>
          </c:cat>
          <c:val>
            <c:numRef>
              <c:f>'g 5.2'!$C$5:$C$23</c:f>
              <c:numCache>
                <c:formatCode>#\ ##0</c:formatCode>
                <c:ptCount val="19"/>
                <c:pt idx="0">
                  <c:v>106</c:v>
                </c:pt>
                <c:pt idx="1">
                  <c:v>2051</c:v>
                </c:pt>
                <c:pt idx="2">
                  <c:v>101</c:v>
                </c:pt>
                <c:pt idx="3">
                  <c:v>2165</c:v>
                </c:pt>
                <c:pt idx="4">
                  <c:v>766</c:v>
                </c:pt>
                <c:pt idx="5">
                  <c:v>532</c:v>
                </c:pt>
                <c:pt idx="6">
                  <c:v>765</c:v>
                </c:pt>
                <c:pt idx="7">
                  <c:v>719</c:v>
                </c:pt>
                <c:pt idx="8">
                  <c:v>2763</c:v>
                </c:pt>
                <c:pt idx="9">
                  <c:v>840</c:v>
                </c:pt>
                <c:pt idx="10">
                  <c:v>6569</c:v>
                </c:pt>
                <c:pt idx="11">
                  <c:v>1842</c:v>
                </c:pt>
                <c:pt idx="12">
                  <c:v>137</c:v>
                </c:pt>
                <c:pt idx="13">
                  <c:v>676</c:v>
                </c:pt>
                <c:pt idx="14">
                  <c:v>658</c:v>
                </c:pt>
                <c:pt idx="15">
                  <c:v>1962</c:v>
                </c:pt>
                <c:pt idx="16">
                  <c:v>632</c:v>
                </c:pt>
                <c:pt idx="17">
                  <c:v>352</c:v>
                </c:pt>
                <c:pt idx="18">
                  <c:v>6856</c:v>
                </c:pt>
              </c:numCache>
            </c:numRef>
          </c:val>
        </c:ser>
        <c:ser>
          <c:idx val="1"/>
          <c:order val="1"/>
          <c:tx>
            <c:strRef>
              <c:f>'g 5.2'!$D$4</c:f>
              <c:strCache>
                <c:ptCount val="1"/>
                <c:pt idx="0">
                  <c:v>Columna1</c:v>
                </c:pt>
              </c:strCache>
            </c:strRef>
          </c:tx>
          <c:cat>
            <c:strRef>
              <c:f>'g 5.2'!$B$5:$B$23</c:f>
              <c:strCache>
                <c:ptCount val="19"/>
                <c:pt idx="0">
                  <c:v>Cuencas Centrales del Norte</c:v>
                </c:pt>
                <c:pt idx="1">
                  <c:v>Michoacán de Ocampo</c:v>
                </c:pt>
                <c:pt idx="2">
                  <c:v>Balsas</c:v>
                </c:pt>
                <c:pt idx="3">
                  <c:v>Puebla</c:v>
                </c:pt>
                <c:pt idx="4">
                  <c:v>San Luis Potosí</c:v>
                </c:pt>
                <c:pt idx="5">
                  <c:v>Querétaro de Arteaga</c:v>
                </c:pt>
                <c:pt idx="6">
                  <c:v>Noroeste</c:v>
                </c:pt>
                <c:pt idx="7">
                  <c:v>Hidalgo</c:v>
                </c:pt>
                <c:pt idx="8">
                  <c:v>Tlaxcala</c:v>
                </c:pt>
                <c:pt idx="9">
                  <c:v>Chihuahua</c:v>
                </c:pt>
                <c:pt idx="10">
                  <c:v>Aguas del Valle de México</c:v>
                </c:pt>
                <c:pt idx="11">
                  <c:v>México</c:v>
                </c:pt>
                <c:pt idx="12">
                  <c:v>Nayarit</c:v>
                </c:pt>
                <c:pt idx="13">
                  <c:v>Coahuila</c:v>
                </c:pt>
                <c:pt idx="14">
                  <c:v>Península de Baja California</c:v>
                </c:pt>
                <c:pt idx="15">
                  <c:v>Frontera Sur</c:v>
                </c:pt>
                <c:pt idx="16">
                  <c:v>Guanajuato</c:v>
                </c:pt>
                <c:pt idx="17">
                  <c:v>Guerrero</c:v>
                </c:pt>
                <c:pt idx="18">
                  <c:v>Zacatecas</c:v>
                </c:pt>
              </c:strCache>
            </c:strRef>
          </c:cat>
          <c:val>
            <c:numRef>
              <c:f>'g 5.2'!$D$5:$D$23</c:f>
              <c:numCache>
                <c:formatCode>General</c:formatCode>
                <c:ptCount val="19"/>
              </c:numCache>
            </c:numRef>
          </c:val>
        </c:ser>
        <c:gapWidth val="24"/>
        <c:axId val="92438528"/>
        <c:axId val="92440448"/>
      </c:barChart>
      <c:catAx>
        <c:axId val="92438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>
                    <a:latin typeface="Presidencia Firme" pitchFamily="50" charset="0"/>
                  </a:defRPr>
                </a:pPr>
                <a:r>
                  <a:rPr lang="en-US" sz="1200" b="0">
                    <a:latin typeface="Presidencia Firme" pitchFamily="50" charset="0"/>
                  </a:rPr>
                  <a:t>Organismo</a:t>
                </a:r>
                <a:r>
                  <a:rPr lang="en-US" sz="1200" b="0" baseline="0">
                    <a:latin typeface="Presidencia Firme" pitchFamily="50" charset="0"/>
                  </a:rPr>
                  <a:t> de Cuenca/Dirección Local</a:t>
                </a:r>
                <a:endParaRPr lang="en-US" sz="1200" b="0">
                  <a:latin typeface="Presidencia Firme" pitchFamily="50" charset="0"/>
                </a:endParaRPr>
              </a:p>
            </c:rich>
          </c:tx>
          <c:layout>
            <c:manualLayout>
              <c:xMode val="edge"/>
              <c:yMode val="edge"/>
              <c:x val="0.82344030051102945"/>
              <c:y val="0.92169141910217556"/>
            </c:manualLayout>
          </c:layout>
        </c:title>
        <c:numFmt formatCode="General" sourceLinked="1"/>
        <c:tickLblPos val="low"/>
        <c:txPr>
          <a:bodyPr rot="-2700000"/>
          <a:lstStyle/>
          <a:p>
            <a:pPr>
              <a:defRPr sz="1300"/>
            </a:pPr>
            <a:endParaRPr lang="es-MX"/>
          </a:p>
        </c:txPr>
        <c:crossAx val="92440448"/>
        <c:crosses val="autoZero"/>
        <c:auto val="1"/>
        <c:lblAlgn val="ctr"/>
        <c:lblOffset val="100"/>
      </c:catAx>
      <c:valAx>
        <c:axId val="92440448"/>
        <c:scaling>
          <c:orientation val="minMax"/>
        </c:scaling>
        <c:axPos val="l"/>
        <c:majorGridlines/>
        <c:numFmt formatCode="#\ ##0" sourceLinked="1"/>
        <c:tickLblPos val="nextTo"/>
        <c:txPr>
          <a:bodyPr/>
          <a:lstStyle/>
          <a:p>
            <a:pPr>
              <a:defRPr sz="1300"/>
            </a:pPr>
            <a:endParaRPr lang="es-MX"/>
          </a:p>
        </c:txPr>
        <c:crossAx val="92438528"/>
        <c:crosses val="autoZero"/>
        <c:crossBetween val="between"/>
      </c:valAx>
      <c:spPr>
        <a:ln>
          <a:solidFill>
            <a:srgbClr val="4F81BD"/>
          </a:solidFill>
        </a:ln>
      </c:spPr>
    </c:plotArea>
    <c:plotVisOnly val="1"/>
  </c:chart>
  <c:spPr>
    <a:ln>
      <a:noFill/>
    </a:ln>
  </c:spPr>
  <c:txPr>
    <a:bodyPr/>
    <a:lstStyle/>
    <a:p>
      <a:pPr>
        <a:defRPr>
          <a:latin typeface="Presidencia Base" pitchFamily="50" charset="0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 paperSize="11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view3D>
      <c:rotX val="90"/>
      <c:hPercent val="110"/>
      <c:rotY val="320"/>
      <c:perspective val="30"/>
    </c:view3D>
    <c:plotArea>
      <c:layout>
        <c:manualLayout>
          <c:layoutTarget val="inner"/>
          <c:xMode val="edge"/>
          <c:yMode val="edge"/>
          <c:x val="1.1799292380559856E-2"/>
          <c:y val="0.12543246675040345"/>
          <c:w val="0.98820070761944012"/>
          <c:h val="0.78852449048490469"/>
        </c:manualLayout>
      </c:layout>
      <c:pie3DChart>
        <c:varyColors val="1"/>
        <c:ser>
          <c:idx val="0"/>
          <c:order val="0"/>
          <c:tx>
            <c:v>PROGRAMAS</c:v>
          </c:tx>
          <c:spPr>
            <a:solidFill>
              <a:srgbClr val="9999FF"/>
            </a:solidFill>
            <a:ln w="12700">
              <a:noFill/>
              <a:prstDash val="solid"/>
            </a:ln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0" h="0"/>
              <a:bevelB w="0" h="0"/>
              <a:contourClr>
                <a:srgbClr val="000000"/>
              </a:contourClr>
            </a:sp3d>
          </c:spPr>
          <c:dPt>
            <c:idx val="0"/>
            <c:spPr>
              <a:solidFill>
                <a:srgbClr val="0070C0"/>
              </a:solidFill>
              <a:ln w="12700">
                <a:noFill/>
                <a:prstDash val="solid"/>
              </a:ln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0" h="0"/>
                <a:bevelB w="0" h="0"/>
                <a:contourClr>
                  <a:srgbClr val="000000"/>
                </a:contourClr>
              </a:sp3d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  <a:ln w="12700">
                <a:noFill/>
                <a:prstDash val="solid"/>
              </a:ln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0" h="0"/>
                <a:bevelB w="0" h="0"/>
                <a:contourClr>
                  <a:srgbClr val="000000"/>
                </a:contourClr>
              </a:sp3d>
            </c:spPr>
          </c:dPt>
          <c:dPt>
            <c:idx val="2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0" h="0"/>
                <a:bevelB w="0" h="0"/>
                <a:contourClr>
                  <a:srgbClr val="000000"/>
                </a:contourClr>
              </a:sp3d>
            </c:spPr>
          </c:dPt>
          <c:dPt>
            <c:idx val="3"/>
            <c:spPr>
              <a:solidFill>
                <a:srgbClr val="00FFFF"/>
              </a:solidFill>
              <a:ln w="12700">
                <a:noFill/>
                <a:prstDash val="solid"/>
              </a:ln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0" h="0"/>
                <a:bevelB w="0" h="0"/>
                <a:contourClr>
                  <a:srgbClr val="000000"/>
                </a:contourClr>
              </a:sp3d>
            </c:spPr>
          </c:dPt>
          <c:dPt>
            <c:idx val="4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0" h="0"/>
                <a:bevelB w="0" h="0"/>
                <a:contourClr>
                  <a:srgbClr val="000000"/>
                </a:contourClr>
              </a:sp3d>
            </c:spPr>
          </c:dPt>
          <c:dPt>
            <c:idx val="5"/>
            <c:spPr>
              <a:solidFill>
                <a:srgbClr val="FFC000"/>
              </a:solidFill>
              <a:ln w="12700">
                <a:noFill/>
                <a:prstDash val="solid"/>
              </a:ln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0" h="0"/>
                <a:bevelB w="0" h="0"/>
                <a:contourClr>
                  <a:srgbClr val="000000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0" h="0"/>
                <a:bevelB w="0" h="0"/>
                <a:contourClr>
                  <a:srgbClr val="000000"/>
                </a:contourClr>
              </a:sp3d>
            </c:spPr>
          </c:dPt>
          <c:dPt>
            <c:idx val="7"/>
            <c:spPr>
              <a:solidFill>
                <a:schemeClr val="accent2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0" h="0"/>
                <a:bevelB w="0" h="0"/>
                <a:contourClr>
                  <a:srgbClr val="000000"/>
                </a:contourClr>
              </a:sp3d>
            </c:spPr>
          </c:dPt>
          <c:dPt>
            <c:idx val="8"/>
            <c:spPr>
              <a:solidFill>
                <a:srgbClr val="B8EA86"/>
              </a:solidFill>
              <a:ln w="12700">
                <a:noFill/>
                <a:prstDash val="solid"/>
              </a:ln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0" h="0"/>
                <a:bevelB w="0" h="0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-0.13234407104883888"/>
                  <c:y val="0.20951654548650891"/>
                </c:manualLayout>
              </c:layout>
              <c:tx>
                <c:rich>
                  <a:bodyPr/>
                  <a:lstStyle/>
                  <a:p>
                    <a:pPr>
                      <a:defRPr sz="1300" b="0">
                        <a:solidFill>
                          <a:schemeClr val="bg1"/>
                        </a:solidFill>
                        <a:latin typeface="Presidencia Base" pitchFamily="50" charset="0"/>
                      </a:defRPr>
                    </a:pPr>
                    <a:r>
                      <a:rPr lang="en-US" sz="1300">
                        <a:solidFill>
                          <a:schemeClr val="bg1"/>
                        </a:solidFill>
                        <a:latin typeface="Presidencia Base" pitchFamily="50" charset="0"/>
                      </a:rPr>
                      <a:t>APAZU</a:t>
                    </a:r>
                  </a:p>
                  <a:p>
                    <a:pPr>
                      <a:defRPr sz="1300" b="0">
                        <a:solidFill>
                          <a:schemeClr val="bg1"/>
                        </a:solidFill>
                        <a:latin typeface="Presidencia Base" pitchFamily="50" charset="0"/>
                      </a:defRPr>
                    </a:pPr>
                    <a:r>
                      <a:rPr lang="en-US" sz="1300">
                        <a:solidFill>
                          <a:schemeClr val="bg1"/>
                        </a:solidFill>
                        <a:latin typeface="Presidencia Base" pitchFamily="50" charset="0"/>
                      </a:rPr>
                      <a:t>11</a:t>
                    </a:r>
                    <a:r>
                      <a:rPr lang="en-US" sz="1300" baseline="0">
                        <a:solidFill>
                          <a:schemeClr val="bg1"/>
                        </a:solidFill>
                        <a:latin typeface="Presidencia Base" pitchFamily="50" charset="0"/>
                      </a:rPr>
                      <a:t> </a:t>
                    </a:r>
                    <a:r>
                      <a:rPr lang="en-US" sz="1300">
                        <a:solidFill>
                          <a:schemeClr val="bg1"/>
                        </a:solidFill>
                        <a:latin typeface="Presidencia Base" pitchFamily="50" charset="0"/>
                      </a:rPr>
                      <a:t>139.2 </a:t>
                    </a:r>
                    <a:r>
                      <a:rPr lang="en-US" sz="1300" baseline="0">
                        <a:solidFill>
                          <a:schemeClr val="bg1"/>
                        </a:solidFill>
                        <a:latin typeface="Presidencia Base" pitchFamily="50" charset="0"/>
                      </a:rPr>
                      <a:t> - </a:t>
                    </a:r>
                    <a:r>
                      <a:rPr lang="en-US" sz="1300">
                        <a:solidFill>
                          <a:schemeClr val="bg1"/>
                        </a:solidFill>
                        <a:latin typeface="Presidencia Base" pitchFamily="50" charset="0"/>
                      </a:rPr>
                      <a:t>37%</a:t>
                    </a:r>
                  </a:p>
                </c:rich>
              </c:tx>
              <c:spPr/>
              <c:showVal val="1"/>
              <c:showCatName val="1"/>
              <c:showPercent val="1"/>
            </c:dLbl>
            <c:dLbl>
              <c:idx val="1"/>
              <c:layout>
                <c:manualLayout>
                  <c:x val="-6.6010451969472934E-3"/>
                  <c:y val="-6.2203468180445939E-4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latin typeface="Presidencia Base" pitchFamily="50" charset="0"/>
                      </a:rPr>
                      <a:t> Valle de México</a:t>
                    </a:r>
                  </a:p>
                  <a:p>
                    <a:r>
                      <a:rPr lang="en-US" sz="1300">
                        <a:latin typeface="Presidencia Base" pitchFamily="50" charset="0"/>
                      </a:rPr>
                      <a:t>  2</a:t>
                    </a:r>
                    <a:r>
                      <a:rPr lang="en-US" sz="1300" baseline="0">
                        <a:latin typeface="Presidencia Base" pitchFamily="50" charset="0"/>
                      </a:rPr>
                      <a:t> </a:t>
                    </a:r>
                    <a:r>
                      <a:rPr lang="en-US" sz="1300">
                        <a:latin typeface="Presidencia Base" pitchFamily="50" charset="0"/>
                      </a:rPr>
                      <a:t>558.6 - 8%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2"/>
              <c:layout>
                <c:manualLayout>
                  <c:x val="6.3408374082096333E-2"/>
                  <c:y val="-5.7671901001590323E-2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latin typeface="Presidencia Base" pitchFamily="50" charset="0"/>
                      </a:rPr>
                      <a:t> PRODDER</a:t>
                    </a:r>
                  </a:p>
                  <a:p>
                    <a:r>
                      <a:rPr lang="en-US" sz="1300">
                        <a:latin typeface="Presidencia Base" pitchFamily="50" charset="0"/>
                      </a:rPr>
                      <a:t>3</a:t>
                    </a:r>
                    <a:r>
                      <a:rPr lang="en-US" sz="1300" baseline="0">
                        <a:latin typeface="Presidencia Base" pitchFamily="50" charset="0"/>
                      </a:rPr>
                      <a:t> </a:t>
                    </a:r>
                    <a:r>
                      <a:rPr lang="en-US" sz="1300">
                        <a:latin typeface="Presidencia Base" pitchFamily="50" charset="0"/>
                      </a:rPr>
                      <a:t>781.3 - 13%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3"/>
              <c:layout>
                <c:manualLayout>
                  <c:x val="2.6940221306281178E-2"/>
                  <c:y val="3.8276121831280277E-3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latin typeface="Presidencia Base" pitchFamily="50" charset="0"/>
                      </a:rPr>
                      <a:t> Agua Limpia </a:t>
                    </a:r>
                  </a:p>
                  <a:p>
                    <a:r>
                      <a:rPr lang="en-US" sz="1300">
                        <a:latin typeface="Presidencia Base" pitchFamily="50" charset="0"/>
                      </a:rPr>
                      <a:t>76.3 - 0.3%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4"/>
              <c:layout>
                <c:manualLayout>
                  <c:x val="-4.6681973200271877E-2"/>
                  <c:y val="-6.8131242448766127E-4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latin typeface="Presidencia Base" pitchFamily="50" charset="0"/>
                      </a:rPr>
                      <a:t> PROSSAPYS</a:t>
                    </a:r>
                  </a:p>
                  <a:p>
                    <a:r>
                      <a:rPr lang="en-US" sz="1300">
                        <a:latin typeface="Presidencia Base" pitchFamily="50" charset="0"/>
                      </a:rPr>
                      <a:t>2</a:t>
                    </a:r>
                    <a:r>
                      <a:rPr lang="en-US" sz="1300" baseline="0">
                        <a:latin typeface="Presidencia Base" pitchFamily="50" charset="0"/>
                      </a:rPr>
                      <a:t> </a:t>
                    </a:r>
                    <a:r>
                      <a:rPr lang="en-US" sz="1300">
                        <a:latin typeface="Presidencia Base" pitchFamily="50" charset="0"/>
                      </a:rPr>
                      <a:t>959.3 - 10%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5"/>
              <c:layout>
                <c:manualLayout>
                  <c:x val="-4.7064226221572504E-2"/>
                  <c:y val="-9.4241434429783826E-3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latin typeface="Presidencia Base" pitchFamily="50" charset="0"/>
                      </a:rPr>
                      <a:t> PROMAGUA </a:t>
                    </a:r>
                  </a:p>
                  <a:p>
                    <a:r>
                      <a:rPr lang="en-US" sz="1300">
                        <a:latin typeface="Presidencia Base" pitchFamily="50" charset="0"/>
                      </a:rPr>
                      <a:t>2</a:t>
                    </a:r>
                    <a:r>
                      <a:rPr lang="en-US" sz="1300" baseline="0">
                        <a:latin typeface="Presidencia Base" pitchFamily="50" charset="0"/>
                      </a:rPr>
                      <a:t> </a:t>
                    </a:r>
                    <a:r>
                      <a:rPr lang="en-US" sz="1300">
                        <a:latin typeface="Presidencia Base" pitchFamily="50" charset="0"/>
                      </a:rPr>
                      <a:t>058.0 - 7%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6"/>
              <c:layout>
                <c:manualLayout>
                  <c:x val="-2.9913063287740356E-2"/>
                  <c:y val="-4.609823975633557E-2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latin typeface="Presidencia Base" pitchFamily="50" charset="0"/>
                      </a:rPr>
                      <a:t> SEDESOL</a:t>
                    </a:r>
                  </a:p>
                  <a:p>
                    <a:r>
                      <a:rPr lang="en-US" sz="1300">
                        <a:latin typeface="Presidencia Base" pitchFamily="50" charset="0"/>
                      </a:rPr>
                      <a:t>2</a:t>
                    </a:r>
                    <a:r>
                      <a:rPr lang="en-US" sz="1300" baseline="0">
                        <a:latin typeface="Presidencia Base" pitchFamily="50" charset="0"/>
                      </a:rPr>
                      <a:t> </a:t>
                    </a:r>
                    <a:r>
                      <a:rPr lang="en-US" sz="1300">
                        <a:latin typeface="Presidencia Base" pitchFamily="50" charset="0"/>
                      </a:rPr>
                      <a:t>530.0 - 8%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7"/>
              <c:layout>
                <c:manualLayout>
                  <c:x val="-8.2572561192079152E-4"/>
                  <c:y val="4.0552845089958385E-2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latin typeface="Presidencia Base" pitchFamily="50" charset="0"/>
                      </a:rPr>
                      <a:t> CONAVI</a:t>
                    </a:r>
                  </a:p>
                  <a:p>
                    <a:r>
                      <a:rPr lang="en-US" sz="1300">
                        <a:latin typeface="Presidencia Base" pitchFamily="50" charset="0"/>
                      </a:rPr>
                      <a:t>4</a:t>
                    </a:r>
                    <a:r>
                      <a:rPr lang="en-US" sz="1300" baseline="0">
                        <a:latin typeface="Presidencia Base" pitchFamily="50" charset="0"/>
                      </a:rPr>
                      <a:t> </a:t>
                    </a:r>
                    <a:r>
                      <a:rPr lang="en-US" sz="1300">
                        <a:latin typeface="Presidencia Base" pitchFamily="50" charset="0"/>
                      </a:rPr>
                      <a:t>320.4 - 14%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8"/>
              <c:layout>
                <c:manualLayout>
                  <c:x val="1.071998973218162E-2"/>
                  <c:y val="1.0943231003327921E-2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latin typeface="Presidencia Base" pitchFamily="50" charset="0"/>
                      </a:rPr>
                      <a:t> CDI</a:t>
                    </a:r>
                  </a:p>
                  <a:p>
                    <a:r>
                      <a:rPr lang="en-US" sz="1300">
                        <a:latin typeface="Presidencia Base" pitchFamily="50" charset="0"/>
                      </a:rPr>
                      <a:t>823.9 - 2.7%</a:t>
                    </a:r>
                  </a:p>
                </c:rich>
              </c:tx>
              <c:showVal val="1"/>
              <c:showCatName val="1"/>
              <c:showPercent val="1"/>
            </c:dLbl>
            <c:txPr>
              <a:bodyPr/>
              <a:lstStyle/>
              <a:p>
                <a:pPr>
                  <a:defRPr sz="1300" b="0">
                    <a:solidFill>
                      <a:sysClr val="windowText" lastClr="000000"/>
                    </a:solidFill>
                    <a:latin typeface="Presidencia Base" pitchFamily="50" charset="0"/>
                  </a:defRPr>
                </a:pPr>
                <a:endParaRPr lang="es-MX"/>
              </a:p>
            </c:txPr>
            <c:showVal val="1"/>
            <c:showCatName val="1"/>
            <c:showPercent val="1"/>
          </c:dLbls>
          <c:cat>
            <c:strRef>
              <c:f>'g 1.2'!$B$2:$B$10</c:f>
              <c:strCache>
                <c:ptCount val="9"/>
                <c:pt idx="0">
                  <c:v>AGUA POTABLE Y SANEAMIENTO EN ZONAS URBANAS </c:v>
                </c:pt>
                <c:pt idx="1">
                  <c:v>VALLE DE MÉXICO b/ </c:v>
                </c:pt>
                <c:pt idx="2">
                  <c:v>DEVOLUCIÓN DE DERECHOS</c:v>
                </c:pt>
                <c:pt idx="3">
                  <c:v>AGUA LIMPIA</c:v>
                </c:pt>
                <c:pt idx="4">
                  <c:v>PROSSAPYS</c:v>
                </c:pt>
                <c:pt idx="5">
                  <c:v>PROMAGUA</c:v>
                </c:pt>
                <c:pt idx="6">
                  <c:v>SEDESOL</c:v>
                </c:pt>
                <c:pt idx="7">
                  <c:v>CONAVI</c:v>
                </c:pt>
                <c:pt idx="8">
                  <c:v>CDI</c:v>
                </c:pt>
              </c:strCache>
            </c:strRef>
          </c:cat>
          <c:val>
            <c:numRef>
              <c:f>'g 1.2'!$C$2:$C$10</c:f>
              <c:numCache>
                <c:formatCode>#\ ##0.0</c:formatCode>
                <c:ptCount val="9"/>
                <c:pt idx="0">
                  <c:v>11139.205349239999</c:v>
                </c:pt>
                <c:pt idx="1">
                  <c:v>2558.5792809999998</c:v>
                </c:pt>
                <c:pt idx="2">
                  <c:v>3781.302302000001</c:v>
                </c:pt>
                <c:pt idx="3">
                  <c:v>76.278635519999995</c:v>
                </c:pt>
                <c:pt idx="4">
                  <c:v>2959.3225596595221</c:v>
                </c:pt>
                <c:pt idx="5">
                  <c:v>2057.9700002500003</c:v>
                </c:pt>
                <c:pt idx="6">
                  <c:v>2530.0497734700002</c:v>
                </c:pt>
                <c:pt idx="7">
                  <c:v>4320.3502227994677</c:v>
                </c:pt>
                <c:pt idx="8">
                  <c:v>823.89869781191499</c:v>
                </c:pt>
              </c:numCache>
            </c:numRef>
          </c:val>
        </c:ser>
        <c:dLbls>
          <c:showVal val="1"/>
          <c:showCatName val="1"/>
          <c:showPercent val="1"/>
        </c:dLbls>
      </c:pie3DChart>
      <c:spPr>
        <a:noFill/>
      </c:spPr>
    </c:plotArea>
    <c:plotVisOnly val="1"/>
    <c:dispBlanksAs val="zero"/>
  </c:chart>
  <c:spPr>
    <a:solidFill>
      <a:srgbClr val="FFFFFF"/>
    </a:solidFill>
    <a:ln w="28575">
      <a:noFill/>
    </a:ln>
    <a:effectLst/>
    <a:scene3d>
      <a:camera prst="orthographicFront"/>
      <a:lightRig rig="threePt" dir="t"/>
    </a:scene3d>
    <a:sp3d/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54" r="0.75000000000001454" t="1" header="0" footer="0"/>
    <c:pageSetup paperSize="11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23045216553186493"/>
          <c:y val="0.12833997569208339"/>
          <c:w val="0.50106190040452092"/>
          <c:h val="0.7765850595717658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7929997969484249"/>
                  <c:y val="0.18953150296798743"/>
                </c:manualLayout>
              </c:layout>
              <c:tx>
                <c:rich>
                  <a:bodyPr/>
                  <a:lstStyle/>
                  <a:p>
                    <a:pPr>
                      <a:defRPr sz="1300" b="0">
                        <a:solidFill>
                          <a:schemeClr val="bg1"/>
                        </a:solidFill>
                        <a:latin typeface="Presidencia Base" pitchFamily="50" charset="0"/>
                      </a:defRPr>
                    </a:pPr>
                    <a:r>
                      <a:rPr lang="en-US" sz="1300">
                        <a:solidFill>
                          <a:schemeClr val="bg1"/>
                        </a:solidFill>
                        <a:latin typeface="Presidencia Base" pitchFamily="50" charset="0"/>
                      </a:rPr>
                      <a:t>APAZU</a:t>
                    </a:r>
                  </a:p>
                  <a:p>
                    <a:pPr>
                      <a:defRPr sz="1300" b="0">
                        <a:solidFill>
                          <a:schemeClr val="bg1"/>
                        </a:solidFill>
                        <a:latin typeface="Presidencia Base" pitchFamily="50" charset="0"/>
                      </a:defRPr>
                    </a:pPr>
                    <a:r>
                      <a:rPr lang="en-US" sz="1300">
                        <a:solidFill>
                          <a:schemeClr val="bg1"/>
                        </a:solidFill>
                        <a:latin typeface="Presidencia Base" pitchFamily="50" charset="0"/>
                      </a:rPr>
                      <a:t>11 139.2  - 50%</a:t>
                    </a:r>
                  </a:p>
                </c:rich>
              </c:tx>
              <c:spPr/>
              <c:showVal val="1"/>
              <c:showCatName val="1"/>
              <c:showPercent val="1"/>
            </c:dLbl>
            <c:dLbl>
              <c:idx val="1"/>
              <c:layout>
                <c:manualLayout>
                  <c:x val="-4.0297167298675683E-2"/>
                  <c:y val="9.7997994264804218E-3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ysClr val="windowText" lastClr="000000"/>
                        </a:solidFill>
                        <a:latin typeface="Presidencia Base" pitchFamily="50" charset="0"/>
                      </a:rPr>
                      <a:t>Valle de México</a:t>
                    </a:r>
                  </a:p>
                  <a:p>
                    <a:r>
                      <a:rPr lang="en-US" sz="1300">
                        <a:solidFill>
                          <a:sysClr val="windowText" lastClr="000000"/>
                        </a:solidFill>
                        <a:latin typeface="Presidencia Base" pitchFamily="50" charset="0"/>
                      </a:rPr>
                      <a:t>2 558.6  - 11%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2"/>
              <c:layout>
                <c:manualLayout>
                  <c:x val="4.0741672248387491E-2"/>
                  <c:y val="-9.9948769706786726E-3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latin typeface="Presidencia Base" pitchFamily="50" charset="0"/>
                      </a:rPr>
                      <a:t>PRODDER</a:t>
                    </a:r>
                  </a:p>
                  <a:p>
                    <a:r>
                      <a:rPr lang="en-US" sz="1300">
                        <a:latin typeface="Presidencia Base" pitchFamily="50" charset="0"/>
                      </a:rPr>
                      <a:t>3 781.3  - 17%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3"/>
              <c:layout>
                <c:manualLayout>
                  <c:x val="6.9429794258652148E-3"/>
                  <c:y val="-2.5316958966481637E-3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ysClr val="windowText" lastClr="000000"/>
                        </a:solidFill>
                        <a:latin typeface="Presidencia Base" pitchFamily="50" charset="0"/>
                      </a:rPr>
                      <a:t>Agua Limpia</a:t>
                    </a:r>
                  </a:p>
                  <a:p>
                    <a:r>
                      <a:rPr lang="en-US" sz="1300">
                        <a:solidFill>
                          <a:sysClr val="windowText" lastClr="000000"/>
                        </a:solidFill>
                        <a:latin typeface="Presidencia Base" pitchFamily="50" charset="0"/>
                      </a:rPr>
                      <a:t>76.3  - 0.3%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4"/>
              <c:layout>
                <c:manualLayout>
                  <c:x val="4.3323163174355762E-3"/>
                  <c:y val="-1.9460470879699255E-2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latin typeface="Presidencia Base" pitchFamily="50" charset="0"/>
                      </a:rPr>
                      <a:t>PROSSAPYS</a:t>
                    </a:r>
                  </a:p>
                  <a:p>
                    <a:r>
                      <a:rPr lang="en-US" sz="1300">
                        <a:latin typeface="Presidencia Base" pitchFamily="50" charset="0"/>
                      </a:rPr>
                      <a:t>2 959.3  - 13%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5"/>
              <c:layout>
                <c:manualLayout>
                  <c:x val="5.0586542163527622E-3"/>
                  <c:y val="9.2403801598764362E-3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latin typeface="Presidencia Base" pitchFamily="50" charset="0"/>
                      </a:rPr>
                      <a:t>PROMAGUA</a:t>
                    </a:r>
                  </a:p>
                  <a:p>
                    <a:r>
                      <a:rPr lang="en-US" sz="1300">
                        <a:latin typeface="Presidencia Base" pitchFamily="50" charset="0"/>
                      </a:rPr>
                      <a:t>2 058.0  -</a:t>
                    </a:r>
                    <a:r>
                      <a:rPr lang="en-US" sz="1300" baseline="0">
                        <a:latin typeface="Presidencia Base" pitchFamily="50" charset="0"/>
                      </a:rPr>
                      <a:t> </a:t>
                    </a:r>
                    <a:r>
                      <a:rPr lang="en-US" sz="1300">
                        <a:latin typeface="Presidencia Base" pitchFamily="50" charset="0"/>
                      </a:rPr>
                      <a:t> 9%</a:t>
                    </a:r>
                  </a:p>
                </c:rich>
              </c:tx>
              <c:showVal val="1"/>
              <c:showCatName val="1"/>
              <c:showPercent val="1"/>
            </c:dLbl>
            <c:txPr>
              <a:bodyPr/>
              <a:lstStyle/>
              <a:p>
                <a:pPr>
                  <a:defRPr sz="1300" b="0">
                    <a:solidFill>
                      <a:sysClr val="windowText" lastClr="000000"/>
                    </a:solidFill>
                    <a:latin typeface="Presidencia Base" pitchFamily="50" charset="0"/>
                  </a:defRPr>
                </a:pPr>
                <a:endParaRPr lang="es-MX"/>
              </a:p>
            </c:txPr>
            <c:showVal val="1"/>
            <c:showCatName val="1"/>
            <c:showPercent val="1"/>
          </c:dLbls>
          <c:cat>
            <c:strRef>
              <c:f>'1.10'!$C$6:$C$11</c:f>
              <c:strCache>
                <c:ptCount val="6"/>
                <c:pt idx="0">
                  <c:v>Agua Potable y Saneamiento en Zonas Urbanas</c:v>
                </c:pt>
                <c:pt idx="1">
                  <c:v>Valle de México b/ </c:v>
                </c:pt>
                <c:pt idx="2">
                  <c:v>Devolución de derechos</c:v>
                </c:pt>
                <c:pt idx="3">
                  <c:v>Agua limpia</c:v>
                </c:pt>
                <c:pt idx="4">
                  <c:v>PROSSAPYS</c:v>
                </c:pt>
                <c:pt idx="5">
                  <c:v>PROMAGUA</c:v>
                </c:pt>
              </c:strCache>
            </c:strRef>
          </c:cat>
          <c:val>
            <c:numRef>
              <c:f>'1.10'!$I$6:$I$11</c:f>
              <c:numCache>
                <c:formatCode>###\ ##0.0___);\-\ ###\ ##0.0___)</c:formatCode>
                <c:ptCount val="6"/>
                <c:pt idx="0">
                  <c:v>11139.205349239999</c:v>
                </c:pt>
                <c:pt idx="1">
                  <c:v>2558.5792809999998</c:v>
                </c:pt>
                <c:pt idx="2">
                  <c:v>3781.302302000001</c:v>
                </c:pt>
                <c:pt idx="3">
                  <c:v>76.278635519999995</c:v>
                </c:pt>
                <c:pt idx="4">
                  <c:v>2959.3225596595221</c:v>
                </c:pt>
                <c:pt idx="5">
                  <c:v>2057.9700002500003</c:v>
                </c:pt>
              </c:numCache>
            </c:numRef>
          </c:val>
        </c:ser>
        <c:ser>
          <c:idx val="1"/>
          <c:order val="1"/>
          <c:tx>
            <c:v>total</c:v>
          </c:tx>
          <c:dLbls>
            <c:showVal val="1"/>
            <c:showCatName val="1"/>
            <c:showPercent val="1"/>
          </c:dLbls>
          <c:val>
            <c:numRef>
              <c:f>'1.9'!$H$5</c:f>
              <c:numCache>
                <c:formatCode>###\ ##0.0___);\-\ ###\ ##0.0___)</c:formatCode>
                <c:ptCount val="1"/>
                <c:pt idx="0">
                  <c:v>22572.658127669525</c:v>
                </c:pt>
              </c:numCache>
            </c:numRef>
          </c:val>
        </c:ser>
        <c:dLbls>
          <c:showVal val="1"/>
          <c:showCatName val="1"/>
          <c:showPercent val="1"/>
        </c:dLbls>
        <c:firstSliceAng val="320"/>
      </c:pieChart>
    </c:plotArea>
    <c:plotVisOnly val="1"/>
    <c:dispBlanksAs val="zero"/>
  </c:chart>
  <c:spPr>
    <a:solidFill>
      <a:srgbClr val="FFFFFF"/>
    </a:solidFill>
    <a:ln w="2857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32" r="0.75000000000001432" t="1" header="0" footer="0"/>
    <c:pageSetup paperSize="11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8.1849499229686845E-2"/>
          <c:y val="8.2045505972851526E-2"/>
          <c:w val="0.85564414119420162"/>
          <c:h val="0.72371134020619265"/>
        </c:manualLayout>
      </c:layout>
      <c:barChart>
        <c:barDir val="col"/>
        <c:grouping val="clustered"/>
        <c:ser>
          <c:idx val="1"/>
          <c:order val="0"/>
          <c:tx>
            <c:v>Población en viviendas particulares</c:v>
          </c:tx>
          <c:spPr>
            <a:solidFill>
              <a:srgbClr val="4081D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>
                <a:rot lat="0" lon="0" rev="3000000"/>
              </a:lightRig>
            </a:scene3d>
            <a:sp3d/>
          </c:spPr>
          <c:dLbls>
            <c:numFmt formatCode="#,##0.0" sourceLinked="0"/>
            <c:txPr>
              <a:bodyPr/>
              <a:lstStyle/>
              <a:p>
                <a:pPr>
                  <a:defRPr sz="1200" b="0">
                    <a:solidFill>
                      <a:schemeClr val="bg1"/>
                    </a:solidFill>
                    <a:latin typeface="Presidencia Firme" pitchFamily="50" charset="0"/>
                  </a:defRPr>
                </a:pPr>
                <a:endParaRPr lang="es-MX"/>
              </a:p>
            </c:txPr>
            <c:dLblPos val="inEnd"/>
            <c:showVal val="1"/>
          </c:dLbls>
          <c:cat>
            <c:strRef>
              <c:f>'2.2'!$B$5:$B$13</c:f>
              <c:strCach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2005 *</c:v>
                </c:pt>
                <c:pt idx="5">
                  <c:v>2006 *</c:v>
                </c:pt>
                <c:pt idx="6">
                  <c:v>2007 *</c:v>
                </c:pt>
                <c:pt idx="7">
                  <c:v>2008 *</c:v>
                </c:pt>
                <c:pt idx="8">
                  <c:v>2009 *</c:v>
                </c:pt>
              </c:strCache>
            </c:strRef>
          </c:cat>
          <c:val>
            <c:numRef>
              <c:f>'2.2'!$C$5:$C$13</c:f>
              <c:numCache>
                <c:formatCode>#,##0.0\ \ \ \ \ \ \ \ </c:formatCode>
                <c:ptCount val="9"/>
                <c:pt idx="0">
                  <c:v>80.433824000000001</c:v>
                </c:pt>
                <c:pt idx="1">
                  <c:v>90.728652000000011</c:v>
                </c:pt>
                <c:pt idx="2">
                  <c:v>95.373479000000003</c:v>
                </c:pt>
                <c:pt idx="3">
                  <c:v>100.02846099999999</c:v>
                </c:pt>
                <c:pt idx="4">
                  <c:v>100.24665217551478</c:v>
                </c:pt>
                <c:pt idx="5">
                  <c:v>101.13719743400502</c:v>
                </c:pt>
                <c:pt idx="6">
                  <c:v>101.94132604531087</c:v>
                </c:pt>
                <c:pt idx="7">
                  <c:v>102.77371428370766</c:v>
                </c:pt>
                <c:pt idx="8">
                  <c:v>103.58335390901632</c:v>
                </c:pt>
              </c:numCache>
            </c:numRef>
          </c:val>
        </c:ser>
        <c:ser>
          <c:idx val="0"/>
          <c:order val="1"/>
          <c:tx>
            <c:v>Población con servicio</c:v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>
                <a:rot lat="0" lon="0" rev="3000000"/>
              </a:lightRig>
            </a:scene3d>
            <a:sp3d/>
          </c:spPr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>
                    <a:latin typeface="Presidencia Firme" pitchFamily="50" charset="0"/>
                  </a:defRPr>
                </a:pPr>
                <a:endParaRPr lang="es-MX"/>
              </a:p>
            </c:txPr>
            <c:dLblPos val="ctr"/>
            <c:showVal val="1"/>
          </c:dLbls>
          <c:cat>
            <c:strRef>
              <c:f>'2.2'!$B$5:$B$13</c:f>
              <c:strCach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2005 *</c:v>
                </c:pt>
                <c:pt idx="5">
                  <c:v>2006 *</c:v>
                </c:pt>
                <c:pt idx="6">
                  <c:v>2007 *</c:v>
                </c:pt>
                <c:pt idx="7">
                  <c:v>2008 *</c:v>
                </c:pt>
                <c:pt idx="8">
                  <c:v>2009 *</c:v>
                </c:pt>
              </c:strCache>
            </c:strRef>
          </c:cat>
          <c:val>
            <c:numRef>
              <c:f>'2.2'!$D$5:$D$13</c:f>
              <c:numCache>
                <c:formatCode>#,##0.0\ \ \ \ \ \ \ \ </c:formatCode>
                <c:ptCount val="9"/>
                <c:pt idx="0">
                  <c:v>63.055542000000003</c:v>
                </c:pt>
                <c:pt idx="1">
                  <c:v>76.738928000000001</c:v>
                </c:pt>
                <c:pt idx="2">
                  <c:v>83.768801999999994</c:v>
                </c:pt>
                <c:pt idx="3">
                  <c:v>89.223750999999993</c:v>
                </c:pt>
                <c:pt idx="4">
                  <c:v>89.799999999999983</c:v>
                </c:pt>
                <c:pt idx="5">
                  <c:v>90.712953922982464</c:v>
                </c:pt>
                <c:pt idx="6">
                  <c:v>91.625489764382991</c:v>
                </c:pt>
                <c:pt idx="7">
                  <c:v>92.804663998188005</c:v>
                </c:pt>
                <c:pt idx="8">
                  <c:v>93.898324626536677</c:v>
                </c:pt>
              </c:numCache>
            </c:numRef>
          </c:val>
        </c:ser>
        <c:gapWidth val="120"/>
        <c:overlap val="100"/>
        <c:axId val="81978880"/>
        <c:axId val="81980416"/>
      </c:barChart>
      <c:lineChart>
        <c:grouping val="standard"/>
        <c:ser>
          <c:idx val="2"/>
          <c:order val="2"/>
          <c:tx>
            <c:v>Cobertura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>
                    <a:latin typeface="Presidencia Firme" pitchFamily="50" charset="0"/>
                  </a:defRPr>
                </a:pPr>
                <a:endParaRPr lang="es-MX"/>
              </a:p>
            </c:txPr>
            <c:dLblPos val="t"/>
            <c:showVal val="1"/>
          </c:dLbls>
          <c:val>
            <c:numRef>
              <c:f>'2.2'!$G$5:$G$13</c:f>
              <c:numCache>
                <c:formatCode>#,##0.0\ \ \ \ \ \ \ \ </c:formatCode>
                <c:ptCount val="9"/>
                <c:pt idx="0">
                  <c:v>78.394310831224431</c:v>
                </c:pt>
                <c:pt idx="1">
                  <c:v>84.580698939514704</c:v>
                </c:pt>
                <c:pt idx="2">
                  <c:v>87.9</c:v>
                </c:pt>
                <c:pt idx="3">
                  <c:v>89.198364253549798</c:v>
                </c:pt>
                <c:pt idx="4">
                  <c:v>89.5</c:v>
                </c:pt>
                <c:pt idx="5">
                  <c:v>89.592967794737731</c:v>
                </c:pt>
                <c:pt idx="6">
                  <c:v>89.880613995208677</c:v>
                </c:pt>
                <c:pt idx="7">
                  <c:v>90.3</c:v>
                </c:pt>
                <c:pt idx="8">
                  <c:v>90.650013813043159</c:v>
                </c:pt>
              </c:numCache>
            </c:numRef>
          </c:val>
        </c:ser>
        <c:marker val="1"/>
        <c:axId val="77665408"/>
        <c:axId val="77666944"/>
      </c:lineChart>
      <c:catAx>
        <c:axId val="8197888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81980416"/>
        <c:crosses val="autoZero"/>
        <c:lblAlgn val="ctr"/>
        <c:lblOffset val="100"/>
        <c:tickLblSkip val="1"/>
        <c:tickMarkSkip val="1"/>
      </c:catAx>
      <c:valAx>
        <c:axId val="81980416"/>
        <c:scaling>
          <c:orientation val="minMax"/>
          <c:max val="120"/>
          <c:min val="0"/>
        </c:scaling>
        <c:axPos val="l"/>
        <c:title>
          <c:tx>
            <c:rich>
              <a:bodyPr rot="-5400000" vert="horz"/>
              <a:lstStyle/>
              <a:p>
                <a:pPr algn="ctr" rtl="0">
                  <a:defRPr/>
                </a:pPr>
                <a:r>
                  <a:rPr lang="es-MX"/>
                  <a:t>Millones de habitantes</a:t>
                </a:r>
              </a:p>
            </c:rich>
          </c:tx>
          <c:layout>
            <c:manualLayout>
              <c:xMode val="edge"/>
              <c:yMode val="edge"/>
              <c:x val="1.4770361232821482E-2"/>
              <c:y val="0.3152625936038469"/>
            </c:manualLayout>
          </c:layout>
          <c:spPr>
            <a:noFill/>
            <a:ln w="0">
              <a:noFill/>
            </a:ln>
          </c:spPr>
        </c:title>
        <c:numFmt formatCode="_-* #,##0_-;\-* #,##0_-;_-* &quot;-&quot;??_-;_-@_-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b" anchorCtr="0"/>
          <a:lstStyle/>
          <a:p>
            <a:pPr>
              <a:defRPr/>
            </a:pPr>
            <a:endParaRPr lang="es-MX"/>
          </a:p>
        </c:txPr>
        <c:crossAx val="81978880"/>
        <c:crosses val="autoZero"/>
        <c:crossBetween val="between"/>
      </c:valAx>
      <c:catAx>
        <c:axId val="77665408"/>
        <c:scaling>
          <c:orientation val="minMax"/>
        </c:scaling>
        <c:delete val="1"/>
        <c:axPos val="b"/>
        <c:tickLblPos val="none"/>
        <c:crossAx val="77666944"/>
        <c:crosses val="autoZero"/>
        <c:lblAlgn val="ctr"/>
        <c:lblOffset val="100"/>
      </c:catAx>
      <c:valAx>
        <c:axId val="77666944"/>
        <c:scaling>
          <c:orientation val="minMax"/>
          <c:max val="100"/>
          <c:min val="0"/>
        </c:scaling>
        <c:axPos val="r"/>
        <c:title>
          <c:tx>
            <c:rich>
              <a:bodyPr rot="-5400000" vert="horz" anchor="b" anchorCtr="0"/>
              <a:lstStyle/>
              <a:p>
                <a:pPr algn="ctr">
                  <a:defRPr/>
                </a:pPr>
                <a:r>
                  <a:rPr lang="es-MX"/>
                  <a:t>Cobertura %                      </a:t>
                </a:r>
              </a:p>
            </c:rich>
          </c:tx>
          <c:layout>
            <c:manualLayout>
              <c:xMode val="edge"/>
              <c:yMode val="edge"/>
              <c:x val="0.97875409520911161"/>
              <c:y val="0.36668811231935239"/>
            </c:manualLayout>
          </c:layout>
          <c:spPr>
            <a:noFill/>
            <a:ln w="25400">
              <a:solidFill>
                <a:schemeClr val="bg1"/>
              </a:solidFill>
            </a:ln>
          </c:spPr>
        </c:title>
        <c:numFmt formatCode="_-* #,##0_-;\-* #,##0_-;_-* &quot;-&quot;??_-;_-@_-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77665408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949955009438759"/>
          <c:y val="0.9181603099244352"/>
          <c:w val="0.58100089981122216"/>
          <c:h val="4.2235721960653713E-2"/>
        </c:manualLayout>
      </c:layout>
      <c:txPr>
        <a:bodyPr/>
        <a:lstStyle/>
        <a:p>
          <a:pPr>
            <a:defRPr sz="1400" b="0">
              <a:latin typeface="Presidencia Firme" pitchFamily="50" charset="0"/>
            </a:defRPr>
          </a:pPr>
          <a:endParaRPr lang="es-MX"/>
        </a:p>
      </c:txPr>
    </c:legend>
    <c:plotVisOnly val="1"/>
    <c:dispBlanksAs val="gap"/>
  </c:chart>
  <c:spPr>
    <a:noFill/>
    <a:ln w="19050">
      <a:noFill/>
      <a:prstDash val="solid"/>
    </a:ln>
  </c:spPr>
  <c:txPr>
    <a:bodyPr/>
    <a:lstStyle/>
    <a:p>
      <a:pPr>
        <a:defRPr sz="1000" b="1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0.59055118110235461" l="0.39370078740157488" r="0.39370078740157488" t="0.59055118110235461" header="0" footer="0"/>
    <c:pageSetup paperSize="11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9.5520748555765381E-2"/>
          <c:y val="4.4675553750785156E-2"/>
          <c:w val="0.88492263292706652"/>
          <c:h val="0.81686803251124662"/>
        </c:manualLayout>
      </c:layout>
      <c:barChart>
        <c:barDir val="col"/>
        <c:grouping val="clustered"/>
        <c:ser>
          <c:idx val="4"/>
          <c:order val="0"/>
          <c:tx>
            <c:strRef>
              <c:f>g2.2!$J$5</c:f>
              <c:strCache>
                <c:ptCount val="1"/>
                <c:pt idx="0">
                  <c:v>CONAGUA DIC. 2007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T w="6350" prst="coolSlant"/>
            </a:sp3d>
          </c:spPr>
          <c:cat>
            <c:strRef>
              <c:f>g2.2!$I$6:$I$37</c:f>
              <c:strCache>
                <c:ptCount val="32"/>
                <c:pt idx="0">
                  <c:v>Distrito Federal</c:v>
                </c:pt>
                <c:pt idx="1">
                  <c:v>Coahuila</c:v>
                </c:pt>
                <c:pt idx="2">
                  <c:v>Colima</c:v>
                </c:pt>
                <c:pt idx="3">
                  <c:v>Tlaxcala</c:v>
                </c:pt>
                <c:pt idx="4">
                  <c:v>Aguascalientes</c:v>
                </c:pt>
                <c:pt idx="5">
                  <c:v>Tamaulipas</c:v>
                </c:pt>
                <c:pt idx="6">
                  <c:v>Yucatán</c:v>
                </c:pt>
                <c:pt idx="7">
                  <c:v>Sonora</c:v>
                </c:pt>
                <c:pt idx="8">
                  <c:v>Nuevo León</c:v>
                </c:pt>
                <c:pt idx="9">
                  <c:v>Sinaloa</c:v>
                </c:pt>
                <c:pt idx="10">
                  <c:v>Zacatecas</c:v>
                </c:pt>
                <c:pt idx="11">
                  <c:v>Nayarit</c:v>
                </c:pt>
                <c:pt idx="12">
                  <c:v>Chihuahua</c:v>
                </c:pt>
                <c:pt idx="13">
                  <c:v>Durango</c:v>
                </c:pt>
                <c:pt idx="14">
                  <c:v>Guanajuato</c:v>
                </c:pt>
                <c:pt idx="15">
                  <c:v>Quintana Roo</c:v>
                </c:pt>
                <c:pt idx="16">
                  <c:v>Baja California</c:v>
                </c:pt>
                <c:pt idx="17">
                  <c:v>Jalisco</c:v>
                </c:pt>
                <c:pt idx="18">
                  <c:v>Querétaro</c:v>
                </c:pt>
                <c:pt idx="19">
                  <c:v>Morelos</c:v>
                </c:pt>
                <c:pt idx="20">
                  <c:v>Michoacán</c:v>
                </c:pt>
                <c:pt idx="21">
                  <c:v>México</c:v>
                </c:pt>
                <c:pt idx="22">
                  <c:v>Hidalgo</c:v>
                </c:pt>
                <c:pt idx="23">
                  <c:v>Campeche</c:v>
                </c:pt>
                <c:pt idx="24">
                  <c:v>Baja California Sur</c:v>
                </c:pt>
                <c:pt idx="25">
                  <c:v>San Luis Potosí</c:v>
                </c:pt>
                <c:pt idx="26">
                  <c:v>Puebla</c:v>
                </c:pt>
                <c:pt idx="27">
                  <c:v>Oaxaca</c:v>
                </c:pt>
                <c:pt idx="28">
                  <c:v>Veracruz</c:v>
                </c:pt>
                <c:pt idx="29">
                  <c:v>Tabasco</c:v>
                </c:pt>
                <c:pt idx="30">
                  <c:v>Chiapas</c:v>
                </c:pt>
                <c:pt idx="31">
                  <c:v>Guerrero</c:v>
                </c:pt>
              </c:strCache>
            </c:strRef>
          </c:cat>
          <c:val>
            <c:numRef>
              <c:f>g2.2!$J$6:$J$37</c:f>
              <c:numCache>
                <c:formatCode>0.0%</c:formatCode>
                <c:ptCount val="32"/>
                <c:pt idx="0">
                  <c:v>0.97902887125354499</c:v>
                </c:pt>
                <c:pt idx="1">
                  <c:v>0.97522735829667562</c:v>
                </c:pt>
                <c:pt idx="2">
                  <c:v>0.97482564125954296</c:v>
                </c:pt>
                <c:pt idx="3">
                  <c:v>0.97409142453703723</c:v>
                </c:pt>
                <c:pt idx="4">
                  <c:v>0.97222014415845481</c:v>
                </c:pt>
                <c:pt idx="5">
                  <c:v>0.96660538943110164</c:v>
                </c:pt>
                <c:pt idx="6">
                  <c:v>0.96016632033456739</c:v>
                </c:pt>
                <c:pt idx="7">
                  <c:v>0.95674223570045924</c:v>
                </c:pt>
                <c:pt idx="8">
                  <c:v>0.95199192408260003</c:v>
                </c:pt>
                <c:pt idx="9">
                  <c:v>0.9507686705999091</c:v>
                </c:pt>
                <c:pt idx="10">
                  <c:v>0.94871282872469109</c:v>
                </c:pt>
                <c:pt idx="11">
                  <c:v>0.94626747483239049</c:v>
                </c:pt>
                <c:pt idx="12">
                  <c:v>0.94481611076169358</c:v>
                </c:pt>
                <c:pt idx="13">
                  <c:v>0.93700337728846161</c:v>
                </c:pt>
                <c:pt idx="14">
                  <c:v>0.93528736966064197</c:v>
                </c:pt>
                <c:pt idx="15">
                  <c:v>0.93000788297380765</c:v>
                </c:pt>
                <c:pt idx="16">
                  <c:v>0.92919415182173659</c:v>
                </c:pt>
                <c:pt idx="17">
                  <c:v>0.92740480890819565</c:v>
                </c:pt>
                <c:pt idx="18">
                  <c:v>0.9217646445025578</c:v>
                </c:pt>
                <c:pt idx="19">
                  <c:v>0.91637278346259998</c:v>
                </c:pt>
                <c:pt idx="20">
                  <c:v>0.91598790211061243</c:v>
                </c:pt>
                <c:pt idx="21">
                  <c:v>0.9152665001149296</c:v>
                </c:pt>
                <c:pt idx="22">
                  <c:v>0.90988850537524957</c:v>
                </c:pt>
                <c:pt idx="23">
                  <c:v>0.89682917272390772</c:v>
                </c:pt>
                <c:pt idx="24">
                  <c:v>0.85963851662663171</c:v>
                </c:pt>
                <c:pt idx="25">
                  <c:v>0.85578098899486732</c:v>
                </c:pt>
                <c:pt idx="26">
                  <c:v>0.85284823307933122</c:v>
                </c:pt>
                <c:pt idx="27">
                  <c:v>0.78051103860764159</c:v>
                </c:pt>
                <c:pt idx="28">
                  <c:v>0.77262983895355153</c:v>
                </c:pt>
                <c:pt idx="29">
                  <c:v>0.76920583513652641</c:v>
                </c:pt>
                <c:pt idx="30">
                  <c:v>0.75254980611792865</c:v>
                </c:pt>
                <c:pt idx="31">
                  <c:v>0.72944409596870463</c:v>
                </c:pt>
              </c:numCache>
            </c:numRef>
          </c:val>
        </c:ser>
        <c:ser>
          <c:idx val="0"/>
          <c:order val="1"/>
          <c:tx>
            <c:v>AP 2005</c:v>
          </c:tx>
          <c:spPr>
            <a:solidFill>
              <a:srgbClr val="00CC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g2.2!$I$6:$I$37</c:f>
              <c:strCache>
                <c:ptCount val="32"/>
                <c:pt idx="0">
                  <c:v>Distrito Federal</c:v>
                </c:pt>
                <c:pt idx="1">
                  <c:v>Coahuila</c:v>
                </c:pt>
                <c:pt idx="2">
                  <c:v>Colima</c:v>
                </c:pt>
                <c:pt idx="3">
                  <c:v>Tlaxcala</c:v>
                </c:pt>
                <c:pt idx="4">
                  <c:v>Aguascalientes</c:v>
                </c:pt>
                <c:pt idx="5">
                  <c:v>Tamaulipas</c:v>
                </c:pt>
                <c:pt idx="6">
                  <c:v>Yucatán</c:v>
                </c:pt>
                <c:pt idx="7">
                  <c:v>Sonora</c:v>
                </c:pt>
                <c:pt idx="8">
                  <c:v>Nuevo León</c:v>
                </c:pt>
                <c:pt idx="9">
                  <c:v>Sinaloa</c:v>
                </c:pt>
                <c:pt idx="10">
                  <c:v>Zacatecas</c:v>
                </c:pt>
                <c:pt idx="11">
                  <c:v>Nayarit</c:v>
                </c:pt>
                <c:pt idx="12">
                  <c:v>Chihuahua</c:v>
                </c:pt>
                <c:pt idx="13">
                  <c:v>Durango</c:v>
                </c:pt>
                <c:pt idx="14">
                  <c:v>Guanajuato</c:v>
                </c:pt>
                <c:pt idx="15">
                  <c:v>Quintana Roo</c:v>
                </c:pt>
                <c:pt idx="16">
                  <c:v>Baja California</c:v>
                </c:pt>
                <c:pt idx="17">
                  <c:v>Jalisco</c:v>
                </c:pt>
                <c:pt idx="18">
                  <c:v>Querétaro</c:v>
                </c:pt>
                <c:pt idx="19">
                  <c:v>Morelos</c:v>
                </c:pt>
                <c:pt idx="20">
                  <c:v>Michoacán</c:v>
                </c:pt>
                <c:pt idx="21">
                  <c:v>México</c:v>
                </c:pt>
                <c:pt idx="22">
                  <c:v>Hidalgo</c:v>
                </c:pt>
                <c:pt idx="23">
                  <c:v>Campeche</c:v>
                </c:pt>
                <c:pt idx="24">
                  <c:v>Baja California Sur</c:v>
                </c:pt>
                <c:pt idx="25">
                  <c:v>San Luis Potosí</c:v>
                </c:pt>
                <c:pt idx="26">
                  <c:v>Puebla</c:v>
                </c:pt>
                <c:pt idx="27">
                  <c:v>Oaxaca</c:v>
                </c:pt>
                <c:pt idx="28">
                  <c:v>Veracruz</c:v>
                </c:pt>
                <c:pt idx="29">
                  <c:v>Tabasco</c:v>
                </c:pt>
                <c:pt idx="30">
                  <c:v>Chiapas</c:v>
                </c:pt>
                <c:pt idx="31">
                  <c:v>Guerrero</c:v>
                </c:pt>
              </c:strCache>
            </c:strRef>
          </c:cat>
          <c:val>
            <c:numRef>
              <c:f>g2.2!$K$6:$K$37</c:f>
            </c:numRef>
          </c:val>
        </c:ser>
        <c:ser>
          <c:idx val="1"/>
          <c:order val="2"/>
          <c:tx>
            <c:v>AP 2000</c:v>
          </c:tx>
          <c:spPr>
            <a:solidFill>
              <a:srgbClr val="CCFF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g2.2!$I$6:$I$37</c:f>
              <c:strCache>
                <c:ptCount val="32"/>
                <c:pt idx="0">
                  <c:v>Distrito Federal</c:v>
                </c:pt>
                <c:pt idx="1">
                  <c:v>Coahuila</c:v>
                </c:pt>
                <c:pt idx="2">
                  <c:v>Colima</c:v>
                </c:pt>
                <c:pt idx="3">
                  <c:v>Tlaxcala</c:v>
                </c:pt>
                <c:pt idx="4">
                  <c:v>Aguascalientes</c:v>
                </c:pt>
                <c:pt idx="5">
                  <c:v>Tamaulipas</c:v>
                </c:pt>
                <c:pt idx="6">
                  <c:v>Yucatán</c:v>
                </c:pt>
                <c:pt idx="7">
                  <c:v>Sonora</c:v>
                </c:pt>
                <c:pt idx="8">
                  <c:v>Nuevo León</c:v>
                </c:pt>
                <c:pt idx="9">
                  <c:v>Sinaloa</c:v>
                </c:pt>
                <c:pt idx="10">
                  <c:v>Zacatecas</c:v>
                </c:pt>
                <c:pt idx="11">
                  <c:v>Nayarit</c:v>
                </c:pt>
                <c:pt idx="12">
                  <c:v>Chihuahua</c:v>
                </c:pt>
                <c:pt idx="13">
                  <c:v>Durango</c:v>
                </c:pt>
                <c:pt idx="14">
                  <c:v>Guanajuato</c:v>
                </c:pt>
                <c:pt idx="15">
                  <c:v>Quintana Roo</c:v>
                </c:pt>
                <c:pt idx="16">
                  <c:v>Baja California</c:v>
                </c:pt>
                <c:pt idx="17">
                  <c:v>Jalisco</c:v>
                </c:pt>
                <c:pt idx="18">
                  <c:v>Querétaro</c:v>
                </c:pt>
                <c:pt idx="19">
                  <c:v>Morelos</c:v>
                </c:pt>
                <c:pt idx="20">
                  <c:v>Michoacán</c:v>
                </c:pt>
                <c:pt idx="21">
                  <c:v>México</c:v>
                </c:pt>
                <c:pt idx="22">
                  <c:v>Hidalgo</c:v>
                </c:pt>
                <c:pt idx="23">
                  <c:v>Campeche</c:v>
                </c:pt>
                <c:pt idx="24">
                  <c:v>Baja California Sur</c:v>
                </c:pt>
                <c:pt idx="25">
                  <c:v>San Luis Potosí</c:v>
                </c:pt>
                <c:pt idx="26">
                  <c:v>Puebla</c:v>
                </c:pt>
                <c:pt idx="27">
                  <c:v>Oaxaca</c:v>
                </c:pt>
                <c:pt idx="28">
                  <c:v>Veracruz</c:v>
                </c:pt>
                <c:pt idx="29">
                  <c:v>Tabasco</c:v>
                </c:pt>
                <c:pt idx="30">
                  <c:v>Chiapas</c:v>
                </c:pt>
                <c:pt idx="31">
                  <c:v>Guerrero</c:v>
                </c:pt>
              </c:strCache>
            </c:strRef>
          </c:cat>
          <c:val>
            <c:numRef>
              <c:f>g2.2!$L$6:$L$37</c:f>
            </c:numRef>
          </c:val>
        </c:ser>
        <c:gapWidth val="60"/>
        <c:overlap val="70"/>
        <c:axId val="82385536"/>
        <c:axId val="82391424"/>
      </c:barChart>
      <c:lineChart>
        <c:grouping val="standard"/>
        <c:ser>
          <c:idx val="5"/>
          <c:order val="3"/>
          <c:spPr>
            <a:ln w="3175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g2.2!$O$4:$O$35</c:f>
              <c:numCache>
                <c:formatCode>General</c:formatCode>
                <c:ptCount val="32"/>
                <c:pt idx="0">
                  <c:v>0.90650013813043151</c:v>
                </c:pt>
                <c:pt idx="1">
                  <c:v>0.90650013813043151</c:v>
                </c:pt>
                <c:pt idx="2">
                  <c:v>0.90650013813043151</c:v>
                </c:pt>
                <c:pt idx="3">
                  <c:v>0.90650013813043151</c:v>
                </c:pt>
                <c:pt idx="4">
                  <c:v>0.90650013813043151</c:v>
                </c:pt>
                <c:pt idx="5">
                  <c:v>0.90650013813043151</c:v>
                </c:pt>
                <c:pt idx="6">
                  <c:v>0.90650013813043151</c:v>
                </c:pt>
                <c:pt idx="7">
                  <c:v>0.90650013813043151</c:v>
                </c:pt>
                <c:pt idx="8">
                  <c:v>0.90650013813043151</c:v>
                </c:pt>
                <c:pt idx="9">
                  <c:v>0.90650013813043151</c:v>
                </c:pt>
                <c:pt idx="10">
                  <c:v>0.90650013813043151</c:v>
                </c:pt>
                <c:pt idx="11">
                  <c:v>0.90650013813043151</c:v>
                </c:pt>
                <c:pt idx="12">
                  <c:v>0.90650013813043151</c:v>
                </c:pt>
                <c:pt idx="13">
                  <c:v>0.90650013813043151</c:v>
                </c:pt>
                <c:pt idx="14">
                  <c:v>0.90650013813043151</c:v>
                </c:pt>
                <c:pt idx="15">
                  <c:v>0.90650013813043151</c:v>
                </c:pt>
                <c:pt idx="16">
                  <c:v>0.90650013813043151</c:v>
                </c:pt>
                <c:pt idx="17">
                  <c:v>0.90650013813043151</c:v>
                </c:pt>
                <c:pt idx="18">
                  <c:v>0.90650013813043151</c:v>
                </c:pt>
                <c:pt idx="19">
                  <c:v>0.90650013813043151</c:v>
                </c:pt>
                <c:pt idx="20">
                  <c:v>0.90650013813043151</c:v>
                </c:pt>
                <c:pt idx="21">
                  <c:v>0.90650013813043151</c:v>
                </c:pt>
                <c:pt idx="22">
                  <c:v>0.90650013813043151</c:v>
                </c:pt>
                <c:pt idx="23">
                  <c:v>0.90650013813043151</c:v>
                </c:pt>
                <c:pt idx="24">
                  <c:v>0.90650013813043151</c:v>
                </c:pt>
                <c:pt idx="25">
                  <c:v>0.90650013813043151</c:v>
                </c:pt>
                <c:pt idx="26">
                  <c:v>0.90650013813043151</c:v>
                </c:pt>
                <c:pt idx="27">
                  <c:v>0.90650013813043151</c:v>
                </c:pt>
                <c:pt idx="28">
                  <c:v>0.90650013813043151</c:v>
                </c:pt>
                <c:pt idx="29">
                  <c:v>0.90650013813043151</c:v>
                </c:pt>
                <c:pt idx="30">
                  <c:v>0.90650013813043151</c:v>
                </c:pt>
                <c:pt idx="31">
                  <c:v>0.90650013813043151</c:v>
                </c:pt>
              </c:numCache>
            </c:numRef>
          </c:val>
        </c:ser>
        <c:marker val="1"/>
        <c:axId val="82385536"/>
        <c:axId val="82391424"/>
      </c:lineChart>
      <c:catAx>
        <c:axId val="82385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Presidencia Base" pitchFamily="50" charset="0"/>
                <a:ea typeface="Arial"/>
                <a:cs typeface="Arial"/>
              </a:defRPr>
            </a:pPr>
            <a:endParaRPr lang="es-MX"/>
          </a:p>
        </c:txPr>
        <c:crossAx val="82391424"/>
        <c:crosses val="autoZero"/>
        <c:auto val="1"/>
        <c:lblAlgn val="ctr"/>
        <c:lblOffset val="100"/>
        <c:tickLblSkip val="1"/>
        <c:tickMarkSkip val="1"/>
      </c:catAx>
      <c:valAx>
        <c:axId val="82391424"/>
        <c:scaling>
          <c:orientation val="minMax"/>
          <c:max val="1"/>
          <c:min val="0.5"/>
        </c:scaling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Presidencia Base" pitchFamily="50" charset="0"/>
                    <a:ea typeface="Arial"/>
                    <a:cs typeface="Arial"/>
                  </a:defRPr>
                </a:pPr>
                <a:r>
                  <a:rPr lang="es-MX" sz="1200" b="0">
                    <a:solidFill>
                      <a:sysClr val="windowText" lastClr="000000"/>
                    </a:solidFill>
                    <a:latin typeface="Presidencia Base" pitchFamily="50" charset="0"/>
                  </a:rPr>
                  <a:t>Coberturas  </a:t>
                </a:r>
              </a:p>
            </c:rich>
          </c:tx>
          <c:layout>
            <c:manualLayout>
              <c:xMode val="edge"/>
              <c:yMode val="edge"/>
              <c:x val="2.3166068738449067E-2"/>
              <c:y val="0.32508308701159988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Presidencia Base" pitchFamily="50" charset="0"/>
                <a:ea typeface="Arial"/>
                <a:cs typeface="Arial"/>
              </a:defRPr>
            </a:pPr>
            <a:endParaRPr lang="es-MX"/>
          </a:p>
        </c:txPr>
        <c:crossAx val="82385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3175">
      <a:noFill/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0.22" l="0.75000000000001465" r="0.75000000000001465" t="1.1399999999999568" header="0" footer="0"/>
    <c:pageSetup paperSize="11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11823748491292604"/>
          <c:y val="5.5531297224212114E-2"/>
          <c:w val="0.79084522098971965"/>
          <c:h val="0.81044281396643603"/>
        </c:manualLayout>
      </c:layout>
      <c:barChart>
        <c:barDir val="col"/>
        <c:grouping val="clustered"/>
        <c:ser>
          <c:idx val="1"/>
          <c:order val="0"/>
          <c:tx>
            <c:v>Población en viviendas particulares</c:v>
          </c:tx>
          <c:spPr>
            <a:solidFill>
              <a:srgbClr val="75923C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/>
          </c:spPr>
          <c:dLbls>
            <c:dLbl>
              <c:idx val="0"/>
              <c:layout>
                <c:manualLayout>
                  <c:x val="-2.9218407596786002E-3"/>
                  <c:y val="8.4996780424983903E-2"/>
                </c:manualLayout>
              </c:layout>
              <c:dLblPos val="inEnd"/>
              <c:showVal val="1"/>
            </c:dLbl>
            <c:dLbl>
              <c:idx val="1"/>
              <c:layout>
                <c:manualLayout>
                  <c:x val="-1.4609203798392721E-3"/>
                  <c:y val="8.4996780424983903E-2"/>
                </c:manualLayout>
              </c:layout>
              <c:dLblPos val="inEnd"/>
              <c:showVal val="1"/>
            </c:dLbl>
            <c:dLbl>
              <c:idx val="2"/>
              <c:layout>
                <c:manualLayout>
                  <c:x val="0"/>
                  <c:y val="7.3232323232323523E-2"/>
                </c:manualLayout>
              </c:layout>
              <c:dLblPos val="inEnd"/>
              <c:showVal val="1"/>
            </c:dLbl>
            <c:numFmt formatCode="#,##0.0" sourceLinked="0"/>
            <c:txPr>
              <a:bodyPr/>
              <a:lstStyle/>
              <a:p>
                <a:pPr>
                  <a:defRPr sz="1200" b="0">
                    <a:solidFill>
                      <a:schemeClr val="bg1"/>
                    </a:solidFill>
                    <a:latin typeface="Presidencia Firme" pitchFamily="50" charset="0"/>
                  </a:defRPr>
                </a:pPr>
                <a:endParaRPr lang="es-MX"/>
              </a:p>
            </c:txPr>
            <c:dLblPos val="inEnd"/>
            <c:showVal val="1"/>
          </c:dLbls>
          <c:cat>
            <c:strRef>
              <c:f>'2.5'!$B$5:$B$13</c:f>
              <c:strCach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2005 *</c:v>
                </c:pt>
                <c:pt idx="5">
                  <c:v>2006 *</c:v>
                </c:pt>
                <c:pt idx="6">
                  <c:v>2007 *</c:v>
                </c:pt>
                <c:pt idx="7">
                  <c:v>2008 *</c:v>
                </c:pt>
                <c:pt idx="8">
                  <c:v>2009 *</c:v>
                </c:pt>
              </c:strCache>
            </c:strRef>
          </c:cat>
          <c:val>
            <c:numRef>
              <c:f>'2.5'!$C$5:$C$13</c:f>
              <c:numCache>
                <c:formatCode>#,##0.0\ \ \ \ \ \ \ \ </c:formatCode>
                <c:ptCount val="9"/>
                <c:pt idx="0">
                  <c:v>80.433824000000001</c:v>
                </c:pt>
                <c:pt idx="1">
                  <c:v>90.728652000000011</c:v>
                </c:pt>
                <c:pt idx="2">
                  <c:v>95.373479000000003</c:v>
                </c:pt>
                <c:pt idx="3">
                  <c:v>100.02846099999999</c:v>
                </c:pt>
                <c:pt idx="4">
                  <c:v>100.24665217551478</c:v>
                </c:pt>
                <c:pt idx="5">
                  <c:v>101.13719743400507</c:v>
                </c:pt>
                <c:pt idx="6">
                  <c:v>101.94132604531086</c:v>
                </c:pt>
                <c:pt idx="7">
                  <c:v>102.77371428370766</c:v>
                </c:pt>
                <c:pt idx="8">
                  <c:v>103.58335390901632</c:v>
                </c:pt>
              </c:numCache>
            </c:numRef>
          </c:val>
        </c:ser>
        <c:ser>
          <c:idx val="0"/>
          <c:order val="1"/>
          <c:tx>
            <c:v>Población con servicio</c:v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/>
          </c:spPr>
          <c:dLbls>
            <c:numFmt formatCode="#,##0.0" sourceLinked="0"/>
            <c:txPr>
              <a:bodyPr/>
              <a:lstStyle/>
              <a:p>
                <a:pPr>
                  <a:defRPr sz="1200"/>
                </a:pPr>
                <a:endParaRPr lang="es-MX"/>
              </a:p>
            </c:txPr>
            <c:dLblPos val="ctr"/>
            <c:showVal val="1"/>
          </c:dLbls>
          <c:cat>
            <c:strRef>
              <c:f>'2.5'!$B$5:$B$13</c:f>
              <c:strCach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2005 *</c:v>
                </c:pt>
                <c:pt idx="5">
                  <c:v>2006 *</c:v>
                </c:pt>
                <c:pt idx="6">
                  <c:v>2007 *</c:v>
                </c:pt>
                <c:pt idx="7">
                  <c:v>2008 *</c:v>
                </c:pt>
                <c:pt idx="8">
                  <c:v>2009 *</c:v>
                </c:pt>
              </c:strCache>
            </c:strRef>
          </c:cat>
          <c:val>
            <c:numRef>
              <c:f>'2.5'!$D$5:$D$13</c:f>
              <c:numCache>
                <c:formatCode>#,##0.0\ \ \ \ \ \ \ \ </c:formatCode>
                <c:ptCount val="9"/>
                <c:pt idx="0">
                  <c:v>49.454701</c:v>
                </c:pt>
                <c:pt idx="1">
                  <c:v>65.689143000000001</c:v>
                </c:pt>
                <c:pt idx="2">
                  <c:v>72.654381000000001</c:v>
                </c:pt>
                <c:pt idx="3">
                  <c:v>85.641177999999996</c:v>
                </c:pt>
                <c:pt idx="4">
                  <c:v>86.1</c:v>
                </c:pt>
                <c:pt idx="5">
                  <c:v>87.015750323911163</c:v>
                </c:pt>
                <c:pt idx="6">
                  <c:v>87.797552116695854</c:v>
                </c:pt>
                <c:pt idx="7">
                  <c:v>88.796489141123416</c:v>
                </c:pt>
                <c:pt idx="8">
                  <c:v>89.906313676154724</c:v>
                </c:pt>
              </c:numCache>
            </c:numRef>
          </c:val>
        </c:ser>
        <c:gapWidth val="120"/>
        <c:overlap val="100"/>
        <c:axId val="89184896"/>
        <c:axId val="89190784"/>
      </c:barChart>
      <c:lineChart>
        <c:grouping val="standard"/>
        <c:ser>
          <c:idx val="2"/>
          <c:order val="2"/>
          <c:tx>
            <c:v>cobertura</c:v>
          </c:tx>
          <c:spPr>
            <a:ln w="28575">
              <a:noFill/>
            </a:ln>
            <a:effectLst>
              <a:outerShdw sx="1000" sy="1000" algn="ctr" rotWithShape="0">
                <a:srgbClr val="000000"/>
              </a:outerShdw>
            </a:effectLst>
          </c:spPr>
          <c:marker>
            <c:symbol val="triangle"/>
            <c:size val="9"/>
            <c:spPr>
              <a:solidFill>
                <a:srgbClr val="E60000"/>
              </a:solidFill>
              <a:ln>
                <a:solidFill>
                  <a:srgbClr val="C00000"/>
                </a:solidFill>
              </a:ln>
              <a:effectLst>
                <a:outerShdw sx="1000" sy="1000" algn="ctr" rotWithShape="0">
                  <a:srgbClr val="000000"/>
                </a:outerShdw>
              </a:effectLst>
            </c:spPr>
          </c:marker>
          <c:dLbls>
            <c:numFmt formatCode="#,##0.0" sourceLinked="0"/>
            <c:txPr>
              <a:bodyPr rot="0"/>
              <a:lstStyle/>
              <a:p>
                <a:pPr>
                  <a:defRPr sz="1200"/>
                </a:pPr>
                <a:endParaRPr lang="es-MX"/>
              </a:p>
            </c:txPr>
            <c:dLblPos val="t"/>
            <c:showVal val="1"/>
            <c:separator> </c:separator>
          </c:dLbls>
          <c:cat>
            <c:strRef>
              <c:f>'2.5'!$B$5:$B$13</c:f>
              <c:strCach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2005 *</c:v>
                </c:pt>
                <c:pt idx="5">
                  <c:v>2006 *</c:v>
                </c:pt>
                <c:pt idx="6">
                  <c:v>2007 *</c:v>
                </c:pt>
                <c:pt idx="7">
                  <c:v>2008 *</c:v>
                </c:pt>
                <c:pt idx="8">
                  <c:v>2009 *</c:v>
                </c:pt>
              </c:strCache>
            </c:strRef>
          </c:cat>
          <c:val>
            <c:numRef>
              <c:f>'2.5'!$G$5:$G$13</c:f>
              <c:numCache>
                <c:formatCode>#,##0.0\ \ \ \ \ \ \ \ </c:formatCode>
                <c:ptCount val="9"/>
                <c:pt idx="0">
                  <c:v>61.484955632595565</c:v>
                </c:pt>
                <c:pt idx="1">
                  <c:v>72.401762345151994</c:v>
                </c:pt>
                <c:pt idx="2">
                  <c:v>76.178809624843396</c:v>
                </c:pt>
                <c:pt idx="3">
                  <c:v>85.61681059953527</c:v>
                </c:pt>
                <c:pt idx="4">
                  <c:v>85.888154997189915</c:v>
                </c:pt>
                <c:pt idx="5">
                  <c:v>86.037335947232904</c:v>
                </c:pt>
                <c:pt idx="6">
                  <c:v>86.125573918541747</c:v>
                </c:pt>
                <c:pt idx="7">
                  <c:v>86.4</c:v>
                </c:pt>
                <c:pt idx="8">
                  <c:v>86.796102156650576</c:v>
                </c:pt>
              </c:numCache>
            </c:numRef>
          </c:val>
        </c:ser>
        <c:marker val="1"/>
        <c:axId val="88735744"/>
        <c:axId val="89192704"/>
      </c:lineChart>
      <c:catAx>
        <c:axId val="8918489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s-MX"/>
          </a:p>
        </c:txPr>
        <c:crossAx val="89190784"/>
        <c:crosses val="autoZero"/>
        <c:lblAlgn val="ctr"/>
        <c:lblOffset val="100"/>
        <c:tickLblSkip val="1"/>
        <c:tickMarkSkip val="1"/>
      </c:catAx>
      <c:valAx>
        <c:axId val="89190784"/>
        <c:scaling>
          <c:orientation val="minMax"/>
          <c:max val="140"/>
          <c:min val="0"/>
        </c:scaling>
        <c:axPos val="l"/>
        <c:title>
          <c:tx>
            <c:rich>
              <a:bodyPr rot="-5400000" vert="horz"/>
              <a:lstStyle/>
              <a:p>
                <a:pPr algn="ctr" rtl="0">
                  <a:defRPr sz="1200"/>
                </a:pPr>
                <a:r>
                  <a:rPr lang="es-MX" sz="1200"/>
                  <a:t>cobertura %</a:t>
                </a:r>
              </a:p>
            </c:rich>
          </c:tx>
          <c:layout>
            <c:manualLayout>
              <c:xMode val="edge"/>
              <c:yMode val="edge"/>
              <c:x val="0.95890986541091894"/>
              <c:y val="0.36143353246488358"/>
            </c:manualLayout>
          </c:layout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/>
            </a:pPr>
            <a:endParaRPr lang="es-MX"/>
          </a:p>
        </c:txPr>
        <c:crossAx val="89184896"/>
        <c:crosses val="autoZero"/>
        <c:crossBetween val="between"/>
      </c:valAx>
      <c:valAx>
        <c:axId val="89192704"/>
        <c:scaling>
          <c:orientation val="minMax"/>
          <c:max val="100"/>
          <c:min val="0"/>
        </c:scaling>
        <c:axPos val="r"/>
        <c:numFmt formatCode="#,##0" sourceLinked="0"/>
        <c:tickLblPos val="nextTo"/>
        <c:crossAx val="88735744"/>
        <c:crosses val="max"/>
        <c:crossBetween val="between"/>
        <c:majorUnit val="20"/>
      </c:valAx>
      <c:catAx>
        <c:axId val="88735744"/>
        <c:scaling>
          <c:orientation val="minMax"/>
        </c:scaling>
        <c:delete val="1"/>
        <c:axPos val="b"/>
        <c:tickLblPos val="none"/>
        <c:crossAx val="89192704"/>
        <c:crossesAt val="30"/>
        <c:lblAlgn val="ctr"/>
        <c:lblOffset val="100"/>
      </c:catAx>
      <c:spPr>
        <a:noFill/>
        <a:ln w="25400">
          <a:noFill/>
        </a:ln>
      </c:spPr>
    </c:plotArea>
    <c:legend>
      <c:legendPos val="r"/>
      <c:legendEntry>
        <c:idx val="2"/>
        <c:txPr>
          <a:bodyPr/>
          <a:lstStyle/>
          <a:p>
            <a:pPr>
              <a:defRPr sz="1200"/>
            </a:pPr>
            <a:endParaRPr lang="es-MX"/>
          </a:p>
        </c:txPr>
      </c:legendEntry>
      <c:layout>
        <c:manualLayout>
          <c:xMode val="edge"/>
          <c:yMode val="edge"/>
          <c:x val="6.7095145067863252E-2"/>
          <c:y val="0.94507754712479164"/>
          <c:w val="0.90249392173757259"/>
          <c:h val="3.97727272727272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</c:chart>
  <c:spPr>
    <a:noFill/>
    <a:ln w="3175">
      <a:noFill/>
      <a:prstDash val="solid"/>
    </a:ln>
  </c:spPr>
  <c:txPr>
    <a:bodyPr/>
    <a:lstStyle/>
    <a:p>
      <a:pPr algn="r">
        <a:defRPr sz="1100" b="0" i="0" u="none" strike="noStrike" baseline="0">
          <a:solidFill>
            <a:srgbClr val="000000"/>
          </a:solidFill>
          <a:latin typeface="Presidencia Firme" pitchFamily="50" charset="0"/>
          <a:ea typeface="Arial"/>
          <a:cs typeface="Arial"/>
        </a:defRPr>
      </a:pPr>
      <a:endParaRPr lang="es-MX"/>
    </a:p>
  </c:txPr>
  <c:printSettings>
    <c:headerFooter alignWithMargins="0"/>
    <c:pageMargins b="0.98425196850393659" l="0.74803149606299546" r="0.74803149606299546" t="0.98425196850393659" header="0.51181102362204722" footer="0.51181102362204722"/>
    <c:pageSetup paperSize="11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>
        <c:manualLayout>
          <c:layoutTarget val="inner"/>
          <c:xMode val="edge"/>
          <c:yMode val="edge"/>
          <c:x val="0.11154714253792992"/>
          <c:y val="7.6033057851243174E-2"/>
          <c:w val="0.86852867176098869"/>
          <c:h val="0.71419782386120034"/>
        </c:manualLayout>
      </c:layout>
      <c:barChart>
        <c:barDir val="col"/>
        <c:grouping val="clustered"/>
        <c:ser>
          <c:idx val="4"/>
          <c:order val="0"/>
          <c:tx>
            <c:strRef>
              <c:f>g2.4!$J$4</c:f>
              <c:strCache>
                <c:ptCount val="1"/>
                <c:pt idx="0">
                  <c:v> CONAGUA DIC. 2007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0" prst="coolSlant"/>
            </a:sp3d>
          </c:spPr>
          <c:cat>
            <c:strRef>
              <c:f>g2.4!$I$5:$I$36</c:f>
              <c:strCache>
                <c:ptCount val="32"/>
                <c:pt idx="0">
                  <c:v>Distrito Federal</c:v>
                </c:pt>
                <c:pt idx="1">
                  <c:v>Colima</c:v>
                </c:pt>
                <c:pt idx="2">
                  <c:v>Jalisco</c:v>
                </c:pt>
                <c:pt idx="3">
                  <c:v>Aguascalientes</c:v>
                </c:pt>
                <c:pt idx="4">
                  <c:v>Nuevo León</c:v>
                </c:pt>
                <c:pt idx="5">
                  <c:v>Nayarit</c:v>
                </c:pt>
                <c:pt idx="6">
                  <c:v>Tabasco</c:v>
                </c:pt>
                <c:pt idx="7">
                  <c:v>Coahuila</c:v>
                </c:pt>
                <c:pt idx="8">
                  <c:v>Morelos</c:v>
                </c:pt>
                <c:pt idx="9">
                  <c:v>Baja California Sur</c:v>
                </c:pt>
                <c:pt idx="10">
                  <c:v>Tlaxcala</c:v>
                </c:pt>
                <c:pt idx="11">
                  <c:v>Chihuahua</c:v>
                </c:pt>
                <c:pt idx="12">
                  <c:v>Sinaloa</c:v>
                </c:pt>
                <c:pt idx="13">
                  <c:v>México</c:v>
                </c:pt>
                <c:pt idx="14">
                  <c:v>Zacatecas</c:v>
                </c:pt>
                <c:pt idx="15">
                  <c:v>Sonora</c:v>
                </c:pt>
                <c:pt idx="16">
                  <c:v>Durango</c:v>
                </c:pt>
                <c:pt idx="17">
                  <c:v>Quintana Roo</c:v>
                </c:pt>
                <c:pt idx="18">
                  <c:v>Michoacán</c:v>
                </c:pt>
                <c:pt idx="19">
                  <c:v>Baja California</c:v>
                </c:pt>
                <c:pt idx="20">
                  <c:v>Guanajuato</c:v>
                </c:pt>
                <c:pt idx="21">
                  <c:v>Querétaro</c:v>
                </c:pt>
                <c:pt idx="22">
                  <c:v>Tamaulipas</c:v>
                </c:pt>
                <c:pt idx="23">
                  <c:v>Hidalgo</c:v>
                </c:pt>
                <c:pt idx="24">
                  <c:v>Puebla</c:v>
                </c:pt>
                <c:pt idx="25">
                  <c:v>Veracruz</c:v>
                </c:pt>
                <c:pt idx="26">
                  <c:v>Campeche</c:v>
                </c:pt>
                <c:pt idx="27">
                  <c:v>San Luis Potosí</c:v>
                </c:pt>
                <c:pt idx="28">
                  <c:v>Chiapas</c:v>
                </c:pt>
                <c:pt idx="29">
                  <c:v>Yucatán</c:v>
                </c:pt>
                <c:pt idx="30">
                  <c:v>Guerrero</c:v>
                </c:pt>
                <c:pt idx="31">
                  <c:v>Oaxaca</c:v>
                </c:pt>
              </c:strCache>
            </c:strRef>
          </c:cat>
          <c:val>
            <c:numRef>
              <c:f>g2.4!$J$5:$J$36</c:f>
              <c:numCache>
                <c:formatCode>0.0%</c:formatCode>
                <c:ptCount val="32"/>
                <c:pt idx="0">
                  <c:v>0.98873569165905162</c:v>
                </c:pt>
                <c:pt idx="1">
                  <c:v>0.98836445657811822</c:v>
                </c:pt>
                <c:pt idx="2">
                  <c:v>0.9643473243431111</c:v>
                </c:pt>
                <c:pt idx="3">
                  <c:v>0.96115837151527461</c:v>
                </c:pt>
                <c:pt idx="4">
                  <c:v>0.9519585714112857</c:v>
                </c:pt>
                <c:pt idx="5">
                  <c:v>0.93830391162951265</c:v>
                </c:pt>
                <c:pt idx="6">
                  <c:v>0.93720503576864789</c:v>
                </c:pt>
                <c:pt idx="7">
                  <c:v>0.92724682600400365</c:v>
                </c:pt>
                <c:pt idx="8">
                  <c:v>0.92358767172333756</c:v>
                </c:pt>
                <c:pt idx="9">
                  <c:v>0.9228358140137487</c:v>
                </c:pt>
                <c:pt idx="10">
                  <c:v>0.90804318471219958</c:v>
                </c:pt>
                <c:pt idx="11">
                  <c:v>0.90068485524906561</c:v>
                </c:pt>
                <c:pt idx="12">
                  <c:v>0.89840855205580195</c:v>
                </c:pt>
                <c:pt idx="13">
                  <c:v>0.8949483872483206</c:v>
                </c:pt>
                <c:pt idx="14">
                  <c:v>0.87143499784283651</c:v>
                </c:pt>
                <c:pt idx="15">
                  <c:v>0.86858230501410016</c:v>
                </c:pt>
                <c:pt idx="16">
                  <c:v>0.86599237626033565</c:v>
                </c:pt>
                <c:pt idx="17">
                  <c:v>0.86499307640417145</c:v>
                </c:pt>
                <c:pt idx="18">
                  <c:v>0.86404619526609061</c:v>
                </c:pt>
                <c:pt idx="19">
                  <c:v>0.86270863773481943</c:v>
                </c:pt>
                <c:pt idx="20">
                  <c:v>0.85981653680395398</c:v>
                </c:pt>
                <c:pt idx="21">
                  <c:v>0.85107438583330119</c:v>
                </c:pt>
                <c:pt idx="22">
                  <c:v>0.83552252807220917</c:v>
                </c:pt>
                <c:pt idx="23">
                  <c:v>0.80033791754784134</c:v>
                </c:pt>
                <c:pt idx="24">
                  <c:v>0.79582321019435975</c:v>
                </c:pt>
                <c:pt idx="25">
                  <c:v>0.78404512209622435</c:v>
                </c:pt>
                <c:pt idx="26">
                  <c:v>0.77275570614656675</c:v>
                </c:pt>
                <c:pt idx="27">
                  <c:v>0.76239405193571363</c:v>
                </c:pt>
                <c:pt idx="28">
                  <c:v>0.75057219156395716</c:v>
                </c:pt>
                <c:pt idx="29">
                  <c:v>0.67705273308821834</c:v>
                </c:pt>
                <c:pt idx="30">
                  <c:v>0.67330194931440435</c:v>
                </c:pt>
                <c:pt idx="31">
                  <c:v>0.62770096300432765</c:v>
                </c:pt>
              </c:numCache>
            </c:numRef>
          </c:val>
        </c:ser>
        <c:ser>
          <c:idx val="0"/>
          <c:order val="1"/>
          <c:tx>
            <c:strRef>
              <c:f>g2.4!$K$4</c:f>
              <c:strCache>
                <c:ptCount val="1"/>
                <c:pt idx="0">
                  <c:v>CONTEO 2005</c:v>
                </c:pt>
              </c:strCache>
            </c:strRef>
          </c:tx>
          <c:spPr>
            <a:solidFill>
              <a:srgbClr val="00330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g2.4!$I$5:$I$36</c:f>
              <c:strCache>
                <c:ptCount val="32"/>
                <c:pt idx="0">
                  <c:v>Distrito Federal</c:v>
                </c:pt>
                <c:pt idx="1">
                  <c:v>Colima</c:v>
                </c:pt>
                <c:pt idx="2">
                  <c:v>Jalisco</c:v>
                </c:pt>
                <c:pt idx="3">
                  <c:v>Aguascalientes</c:v>
                </c:pt>
                <c:pt idx="4">
                  <c:v>Nuevo León</c:v>
                </c:pt>
                <c:pt idx="5">
                  <c:v>Nayarit</c:v>
                </c:pt>
                <c:pt idx="6">
                  <c:v>Tabasco</c:v>
                </c:pt>
                <c:pt idx="7">
                  <c:v>Coahuila</c:v>
                </c:pt>
                <c:pt idx="8">
                  <c:v>Morelos</c:v>
                </c:pt>
                <c:pt idx="9">
                  <c:v>Baja California Sur</c:v>
                </c:pt>
                <c:pt idx="10">
                  <c:v>Tlaxcala</c:v>
                </c:pt>
                <c:pt idx="11">
                  <c:v>Chihuahua</c:v>
                </c:pt>
                <c:pt idx="12">
                  <c:v>Sinaloa</c:v>
                </c:pt>
                <c:pt idx="13">
                  <c:v>México</c:v>
                </c:pt>
                <c:pt idx="14">
                  <c:v>Zacatecas</c:v>
                </c:pt>
                <c:pt idx="15">
                  <c:v>Sonora</c:v>
                </c:pt>
                <c:pt idx="16">
                  <c:v>Durango</c:v>
                </c:pt>
                <c:pt idx="17">
                  <c:v>Quintana Roo</c:v>
                </c:pt>
                <c:pt idx="18">
                  <c:v>Michoacán</c:v>
                </c:pt>
                <c:pt idx="19">
                  <c:v>Baja California</c:v>
                </c:pt>
                <c:pt idx="20">
                  <c:v>Guanajuato</c:v>
                </c:pt>
                <c:pt idx="21">
                  <c:v>Querétaro</c:v>
                </c:pt>
                <c:pt idx="22">
                  <c:v>Tamaulipas</c:v>
                </c:pt>
                <c:pt idx="23">
                  <c:v>Hidalgo</c:v>
                </c:pt>
                <c:pt idx="24">
                  <c:v>Puebla</c:v>
                </c:pt>
                <c:pt idx="25">
                  <c:v>Veracruz</c:v>
                </c:pt>
                <c:pt idx="26">
                  <c:v>Campeche</c:v>
                </c:pt>
                <c:pt idx="27">
                  <c:v>San Luis Potosí</c:v>
                </c:pt>
                <c:pt idx="28">
                  <c:v>Chiapas</c:v>
                </c:pt>
                <c:pt idx="29">
                  <c:v>Yucatán</c:v>
                </c:pt>
                <c:pt idx="30">
                  <c:v>Guerrero</c:v>
                </c:pt>
                <c:pt idx="31">
                  <c:v>Oaxaca</c:v>
                </c:pt>
              </c:strCache>
            </c:strRef>
          </c:cat>
          <c:val>
            <c:numRef>
              <c:f>g2.4!$K$5:$K$36</c:f>
            </c:numRef>
          </c:val>
        </c:ser>
        <c:ser>
          <c:idx val="1"/>
          <c:order val="2"/>
          <c:tx>
            <c:strRef>
              <c:f>g2.4!$L$4</c:f>
              <c:strCache>
                <c:ptCount val="1"/>
                <c:pt idx="0">
                  <c:v>CENSO 2000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g2.4!$I$5:$I$36</c:f>
              <c:strCache>
                <c:ptCount val="32"/>
                <c:pt idx="0">
                  <c:v>Distrito Federal</c:v>
                </c:pt>
                <c:pt idx="1">
                  <c:v>Colima</c:v>
                </c:pt>
                <c:pt idx="2">
                  <c:v>Jalisco</c:v>
                </c:pt>
                <c:pt idx="3">
                  <c:v>Aguascalientes</c:v>
                </c:pt>
                <c:pt idx="4">
                  <c:v>Nuevo León</c:v>
                </c:pt>
                <c:pt idx="5">
                  <c:v>Nayarit</c:v>
                </c:pt>
                <c:pt idx="6">
                  <c:v>Tabasco</c:v>
                </c:pt>
                <c:pt idx="7">
                  <c:v>Coahuila</c:v>
                </c:pt>
                <c:pt idx="8">
                  <c:v>Morelos</c:v>
                </c:pt>
                <c:pt idx="9">
                  <c:v>Baja California Sur</c:v>
                </c:pt>
                <c:pt idx="10">
                  <c:v>Tlaxcala</c:v>
                </c:pt>
                <c:pt idx="11">
                  <c:v>Chihuahua</c:v>
                </c:pt>
                <c:pt idx="12">
                  <c:v>Sinaloa</c:v>
                </c:pt>
                <c:pt idx="13">
                  <c:v>México</c:v>
                </c:pt>
                <c:pt idx="14">
                  <c:v>Zacatecas</c:v>
                </c:pt>
                <c:pt idx="15">
                  <c:v>Sonora</c:v>
                </c:pt>
                <c:pt idx="16">
                  <c:v>Durango</c:v>
                </c:pt>
                <c:pt idx="17">
                  <c:v>Quintana Roo</c:v>
                </c:pt>
                <c:pt idx="18">
                  <c:v>Michoacán</c:v>
                </c:pt>
                <c:pt idx="19">
                  <c:v>Baja California</c:v>
                </c:pt>
                <c:pt idx="20">
                  <c:v>Guanajuato</c:v>
                </c:pt>
                <c:pt idx="21">
                  <c:v>Querétaro</c:v>
                </c:pt>
                <c:pt idx="22">
                  <c:v>Tamaulipas</c:v>
                </c:pt>
                <c:pt idx="23">
                  <c:v>Hidalgo</c:v>
                </c:pt>
                <c:pt idx="24">
                  <c:v>Puebla</c:v>
                </c:pt>
                <c:pt idx="25">
                  <c:v>Veracruz</c:v>
                </c:pt>
                <c:pt idx="26">
                  <c:v>Campeche</c:v>
                </c:pt>
                <c:pt idx="27">
                  <c:v>San Luis Potosí</c:v>
                </c:pt>
                <c:pt idx="28">
                  <c:v>Chiapas</c:v>
                </c:pt>
                <c:pt idx="29">
                  <c:v>Yucatán</c:v>
                </c:pt>
                <c:pt idx="30">
                  <c:v>Guerrero</c:v>
                </c:pt>
                <c:pt idx="31">
                  <c:v>Oaxaca</c:v>
                </c:pt>
              </c:strCache>
            </c:strRef>
          </c:cat>
          <c:val>
            <c:numRef>
              <c:f>g2.4!$L$5:$L$36</c:f>
            </c:numRef>
          </c:val>
        </c:ser>
        <c:gapWidth val="60"/>
        <c:overlap val="70"/>
        <c:axId val="88891392"/>
        <c:axId val="88892928"/>
      </c:barChart>
      <c:lineChart>
        <c:grouping val="standard"/>
        <c:ser>
          <c:idx val="2"/>
          <c:order val="3"/>
          <c:marker>
            <c:symbol val="none"/>
          </c:marker>
          <c:val>
            <c:numRef>
              <c:f>g2.4!$Q$4:$Q$35</c:f>
              <c:numCache>
                <c:formatCode>0.0%</c:formatCode>
                <c:ptCount val="32"/>
                <c:pt idx="0">
                  <c:v>0.86796102156650889</c:v>
                </c:pt>
                <c:pt idx="1">
                  <c:v>0.86796102156650889</c:v>
                </c:pt>
                <c:pt idx="2">
                  <c:v>0.86796102156650889</c:v>
                </c:pt>
                <c:pt idx="3">
                  <c:v>0.86796102156650889</c:v>
                </c:pt>
                <c:pt idx="4">
                  <c:v>0.86796102156650889</c:v>
                </c:pt>
                <c:pt idx="5">
                  <c:v>0.86796102156650889</c:v>
                </c:pt>
                <c:pt idx="6">
                  <c:v>0.86796102156650889</c:v>
                </c:pt>
                <c:pt idx="7">
                  <c:v>0.86796102156650889</c:v>
                </c:pt>
                <c:pt idx="8">
                  <c:v>0.86796102156650889</c:v>
                </c:pt>
                <c:pt idx="9">
                  <c:v>0.86796102156650889</c:v>
                </c:pt>
                <c:pt idx="10">
                  <c:v>0.86796102156650889</c:v>
                </c:pt>
                <c:pt idx="11">
                  <c:v>0.86796102156650889</c:v>
                </c:pt>
                <c:pt idx="12">
                  <c:v>0.86796102156650889</c:v>
                </c:pt>
                <c:pt idx="13">
                  <c:v>0.86796102156650889</c:v>
                </c:pt>
                <c:pt idx="14">
                  <c:v>0.86796102156650889</c:v>
                </c:pt>
                <c:pt idx="15">
                  <c:v>0.86796102156650889</c:v>
                </c:pt>
                <c:pt idx="16">
                  <c:v>0.86796102156650889</c:v>
                </c:pt>
                <c:pt idx="17">
                  <c:v>0.86796102156650889</c:v>
                </c:pt>
                <c:pt idx="18">
                  <c:v>0.86796102156650889</c:v>
                </c:pt>
                <c:pt idx="19">
                  <c:v>0.86796102156650889</c:v>
                </c:pt>
                <c:pt idx="20">
                  <c:v>0.86796102156650889</c:v>
                </c:pt>
                <c:pt idx="21">
                  <c:v>0.86796102156650889</c:v>
                </c:pt>
                <c:pt idx="22">
                  <c:v>0.86796102156650889</c:v>
                </c:pt>
                <c:pt idx="23">
                  <c:v>0.86796102156650889</c:v>
                </c:pt>
                <c:pt idx="24">
                  <c:v>0.86796102156650889</c:v>
                </c:pt>
                <c:pt idx="25">
                  <c:v>0.86796102156650889</c:v>
                </c:pt>
                <c:pt idx="26">
                  <c:v>0.86796102156650889</c:v>
                </c:pt>
                <c:pt idx="27">
                  <c:v>0.86796102156650889</c:v>
                </c:pt>
                <c:pt idx="28">
                  <c:v>0.86796102156650889</c:v>
                </c:pt>
                <c:pt idx="29">
                  <c:v>0.86796102156650889</c:v>
                </c:pt>
                <c:pt idx="30">
                  <c:v>0.86796102156650889</c:v>
                </c:pt>
                <c:pt idx="31">
                  <c:v>0.86796102156650889</c:v>
                </c:pt>
              </c:numCache>
            </c:numRef>
          </c:val>
        </c:ser>
        <c:marker val="1"/>
        <c:axId val="88891392"/>
        <c:axId val="88892928"/>
      </c:lineChart>
      <c:catAx>
        <c:axId val="88891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>
                <a:latin typeface="Presidencia Base" pitchFamily="50" charset="0"/>
              </a:defRPr>
            </a:pPr>
            <a:endParaRPr lang="es-MX"/>
          </a:p>
        </c:txPr>
        <c:crossAx val="88892928"/>
        <c:crosses val="autoZero"/>
        <c:auto val="1"/>
        <c:lblAlgn val="ctr"/>
        <c:lblOffset val="100"/>
        <c:tickLblSkip val="1"/>
        <c:tickMarkSkip val="1"/>
      </c:catAx>
      <c:valAx>
        <c:axId val="88892928"/>
        <c:scaling>
          <c:orientation val="minMax"/>
          <c:max val="1"/>
          <c:min val="0.30000000000000032"/>
        </c:scaling>
        <c:axPos val="l"/>
        <c:title>
          <c:tx>
            <c:rich>
              <a:bodyPr/>
              <a:lstStyle/>
              <a:p>
                <a:pPr>
                  <a:defRPr sz="1200" b="1">
                    <a:latin typeface="Presidencia Base" pitchFamily="50" charset="0"/>
                  </a:defRPr>
                </a:pPr>
                <a:r>
                  <a:rPr lang="es-MX" sz="1200" b="1">
                    <a:latin typeface="Presidencia Base" pitchFamily="50" charset="0"/>
                  </a:rPr>
                  <a:t>Coberturas</a:t>
                </a:r>
              </a:p>
            </c:rich>
          </c:tx>
          <c:layout>
            <c:manualLayout>
              <c:xMode val="edge"/>
              <c:yMode val="edge"/>
              <c:x val="1.5784753481775413E-2"/>
              <c:y val="0.3531062780571313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>
                <a:latin typeface="Presidencia Base" pitchFamily="50" charset="0"/>
              </a:defRPr>
            </a:pPr>
            <a:endParaRPr lang="es-MX"/>
          </a:p>
        </c:txPr>
        <c:crossAx val="8889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3175">
      <a:noFill/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0.22" l="0.75000000000001465" r="0.75000000000001465" t="1.1399999999999568" header="0" footer="0"/>
    <c:pageSetup paperSize="11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14179209932697781"/>
          <c:y val="5.314797638482071E-2"/>
          <c:w val="0.83408216761714127"/>
          <c:h val="0.79167340536950737"/>
        </c:manualLayout>
      </c:layout>
      <c:barChart>
        <c:barDir val="col"/>
        <c:grouping val="clustered"/>
        <c:ser>
          <c:idx val="2"/>
          <c:order val="0"/>
          <c:tx>
            <c:strRef>
              <c:f>'g2.5 g2.6'!$N$4:$N$5</c:f>
              <c:strCache>
                <c:ptCount val="1"/>
                <c:pt idx="0">
                  <c:v>Nacional Avances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effectLst>
              <a:outerShdw dist="35921" dir="2700000" algn="br">
                <a:srgbClr val="000000"/>
              </a:outerShdw>
            </a:effectLst>
            <a:scene3d>
              <a:camera prst="orthographicFront"/>
              <a:lightRig rig="threePt" dir="t"/>
            </a:scene3d>
            <a:sp3d/>
          </c:spPr>
          <c:dLbls>
            <c:dLbl>
              <c:idx val="0"/>
              <c:layout>
                <c:manualLayout>
                  <c:x val="0"/>
                  <c:y val="0.11347517730496448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0.12765957446807832"/>
                </c:manualLayout>
              </c:layout>
              <c:showVal val="1"/>
            </c:dLbl>
            <c:dLbl>
              <c:idx val="2"/>
              <c:layout>
                <c:manualLayout>
                  <c:x val="-2.2870211549457574E-3"/>
                  <c:y val="0.10007358351729213"/>
                </c:manualLayout>
              </c:layout>
              <c:showVal val="1"/>
            </c:dLbl>
            <c:txPr>
              <a:bodyPr rot="-5400000" vert="horz"/>
              <a:lstStyle/>
              <a:p>
                <a:pPr algn="ctr" rtl="0">
                  <a:defRPr sz="1000" b="0">
                    <a:latin typeface="Presidencia Firme" pitchFamily="50" charset="0"/>
                  </a:defRPr>
                </a:pPr>
                <a:endParaRPr lang="es-MX"/>
              </a:p>
            </c:txPr>
            <c:showVal val="1"/>
          </c:dLbls>
          <c:cat>
            <c:numRef>
              <c:f>'g2.5 g2.6'!$B$6:$B$11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'g2.5 g2.6'!$N$6:$N$11</c:f>
              <c:numCache>
                <c:formatCode>_-* #,##0.0_-;\-* #,##0.0_-;_-* "-"??_-;_-@_-</c:formatCode>
                <c:ptCount val="6"/>
                <c:pt idx="0">
                  <c:v>86.1</c:v>
                </c:pt>
                <c:pt idx="1">
                  <c:v>86.442882461243883</c:v>
                </c:pt>
                <c:pt idx="2">
                  <c:v>86.796102156650576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1"/>
          <c:tx>
            <c:strRef>
              <c:f>'g2.5 g2.6'!$P$4:$P$5</c:f>
              <c:strCache>
                <c:ptCount val="1"/>
                <c:pt idx="0">
                  <c:v>Zonas urbanas Avances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scene3d>
              <a:camera prst="orthographicFront"/>
              <a:lightRig rig="threePt" dir="t"/>
            </a:scene3d>
            <a:sp3d prstMaterial="plastic"/>
          </c:spPr>
          <c:dLbls>
            <c:dLbl>
              <c:idx val="0"/>
              <c:layout>
                <c:manualLayout>
                  <c:x val="-1.800804059012386E-7"/>
                  <c:y val="-5.4289107901247413E-2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-4.5742223902973875E-3"/>
                  <c:y val="-6.7089395282543374E-2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-4.5740423098913924E-3"/>
                  <c:y val="-5.2980132450331133E-2"/>
                </c:manualLayout>
              </c:layout>
              <c:dLblPos val="ctr"/>
              <c:showVal val="1"/>
            </c:dLbl>
            <c:txPr>
              <a:bodyPr rot="-5400000" vert="horz"/>
              <a:lstStyle/>
              <a:p>
                <a:pPr algn="ctr">
                  <a:defRPr sz="1000" b="0">
                    <a:latin typeface="Presidencia Firme" pitchFamily="50" charset="0"/>
                  </a:defRPr>
                </a:pPr>
                <a:endParaRPr lang="es-MX"/>
              </a:p>
            </c:txPr>
            <c:dLblPos val="ctr"/>
            <c:showVal val="1"/>
          </c:dLbls>
          <c:cat>
            <c:numRef>
              <c:f>'g2.5 g2.6'!$B$6:$B$11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'g2.5 g2.6'!$P$6:$P$11</c:f>
              <c:numCache>
                <c:formatCode>_-* #,##0.0_-;\-* #,##0.0_-;_-* "-"??_-;_-@_-</c:formatCode>
                <c:ptCount val="6"/>
                <c:pt idx="0">
                  <c:v>94.199999999999989</c:v>
                </c:pt>
                <c:pt idx="1">
                  <c:v>93.907982930059319</c:v>
                </c:pt>
                <c:pt idx="2">
                  <c:v>93.880082260760005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2"/>
          <c:tx>
            <c:strRef>
              <c:f>'g2.5 g2.6'!$R$4:$R$5</c:f>
              <c:strCache>
                <c:ptCount val="1"/>
                <c:pt idx="0">
                  <c:v>Zonas rurales Avances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/>
          </c:spPr>
          <c:dLbls>
            <c:dLbl>
              <c:idx val="0"/>
              <c:layout>
                <c:manualLayout>
                  <c:x val="-6.0312529544443542E-3"/>
                  <c:y val="-1.702108428499418E-2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0"/>
                  <c:y val="-1.9858156028369003E-2"/>
                </c:manualLayout>
              </c:layout>
              <c:dLblPos val="ctr"/>
              <c:showVal val="1"/>
            </c:dLbl>
            <c:txPr>
              <a:bodyPr rot="-5400000" vert="horz"/>
              <a:lstStyle/>
              <a:p>
                <a:pPr>
                  <a:defRPr sz="1000" b="0">
                    <a:solidFill>
                      <a:schemeClr val="bg1"/>
                    </a:solidFill>
                    <a:latin typeface="Presidencia Firme" pitchFamily="50" charset="0"/>
                  </a:defRPr>
                </a:pPr>
                <a:endParaRPr lang="es-MX"/>
              </a:p>
            </c:txPr>
            <c:dLblPos val="ctr"/>
            <c:showVal val="1"/>
          </c:dLbls>
          <c:cat>
            <c:numRef>
              <c:f>'g2.5 g2.6'!$B$6:$B$11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'g2.5 g2.6'!$R$6:$R$11</c:f>
              <c:numCache>
                <c:formatCode>_-* #,##0.0_-;\-* #,##0.0_-;_-* "-"??_-;_-@_-</c:formatCode>
                <c:ptCount val="6"/>
                <c:pt idx="0">
                  <c:v>59.9</c:v>
                </c:pt>
                <c:pt idx="1">
                  <c:v>61.847689011060922</c:v>
                </c:pt>
                <c:pt idx="2">
                  <c:v>63.176812739787117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15"/>
        <c:overlap val="-2"/>
        <c:axId val="88813952"/>
        <c:axId val="89320064"/>
      </c:barChart>
      <c:lineChart>
        <c:grouping val="standard"/>
        <c:ser>
          <c:idx val="1"/>
          <c:order val="3"/>
          <c:tx>
            <c:strRef>
              <c:f>'g2.5 g2.6'!$M$4:$M$5</c:f>
              <c:strCache>
                <c:ptCount val="1"/>
                <c:pt idx="0">
                  <c:v>Nacional Metas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dash"/>
            <c:size val="17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marker>
          <c:dLbls>
            <c:dLbl>
              <c:idx val="0"/>
              <c:layout>
                <c:manualLayout>
                  <c:x val="-4.5740423098913534E-3"/>
                  <c:y val="3.3723036276094645E-2"/>
                </c:manualLayout>
              </c:layout>
              <c:dLblPos val="t"/>
              <c:showVal val="1"/>
            </c:dLbl>
            <c:dLbl>
              <c:idx val="1"/>
              <c:layout>
                <c:manualLayout>
                  <c:x val="-4.1890304020746338E-3"/>
                  <c:y val="3.1099059637412874E-2"/>
                </c:manualLayout>
              </c:layout>
              <c:dLblPos val="t"/>
              <c:showVal val="1"/>
            </c:dLbl>
            <c:dLbl>
              <c:idx val="2"/>
              <c:layout>
                <c:manualLayout>
                  <c:x val="0"/>
                  <c:y val="2.8049341514430212E-2"/>
                </c:manualLayout>
              </c:layout>
              <c:dLblPos val="t"/>
              <c:showVal val="1"/>
            </c:dLbl>
            <c:dLbl>
              <c:idx val="3"/>
              <c:layout>
                <c:manualLayout>
                  <c:x val="-2.2870211549457552E-3"/>
                  <c:y val="3.0779927343519649E-2"/>
                </c:manualLayout>
              </c:layout>
              <c:dLblPos val="t"/>
              <c:showVal val="1"/>
            </c:dLbl>
            <c:dLbl>
              <c:idx val="4"/>
              <c:layout>
                <c:manualLayout>
                  <c:x val="2.2870211549458307E-3"/>
                  <c:y val="2.7942964083131992E-2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-1.9020092471288461E-3"/>
                  <c:y val="2.7942964083131992E-2"/>
                </c:manualLayout>
              </c:layout>
              <c:dLblPos val="t"/>
              <c:showVal val="1"/>
            </c:dLbl>
            <c:txPr>
              <a:bodyPr/>
              <a:lstStyle/>
              <a:p>
                <a:pPr algn="ctr" rtl="0">
                  <a:defRPr sz="1000" b="0">
                    <a:latin typeface="Presidencia Firme" pitchFamily="50" charset="0"/>
                  </a:defRPr>
                </a:pPr>
                <a:endParaRPr lang="es-MX"/>
              </a:p>
            </c:txPr>
            <c:dLblPos val="t"/>
            <c:showVal val="1"/>
          </c:dLbls>
          <c:cat>
            <c:numRef>
              <c:f>'g2.5 g2.6'!$B$6:$B$11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'g2.5 g2.6'!$M$6:$M$11</c:f>
              <c:numCache>
                <c:formatCode>_-* #,##0.0_-;\-* #,##0.0_-;_-* "-"??_-;_-@_-</c:formatCode>
                <c:ptCount val="6"/>
                <c:pt idx="0">
                  <c:v>86.2</c:v>
                </c:pt>
                <c:pt idx="1">
                  <c:v>86.6</c:v>
                </c:pt>
                <c:pt idx="2">
                  <c:v>87</c:v>
                </c:pt>
                <c:pt idx="3">
                  <c:v>87.3</c:v>
                </c:pt>
                <c:pt idx="4">
                  <c:v>87.6</c:v>
                </c:pt>
                <c:pt idx="5">
                  <c:v>88</c:v>
                </c:pt>
              </c:numCache>
            </c:numRef>
          </c:val>
        </c:ser>
        <c:ser>
          <c:idx val="3"/>
          <c:order val="4"/>
          <c:tx>
            <c:strRef>
              <c:f>'g2.5 g2.6'!$O$4:$O$5</c:f>
              <c:strCache>
                <c:ptCount val="1"/>
                <c:pt idx="0">
                  <c:v>Zonas urbanas Metas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dash"/>
            <c:size val="17"/>
            <c:spPr>
              <a:solidFill>
                <a:srgbClr val="FF6600"/>
              </a:solidFill>
              <a:ln cmpd="sng"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/>
            </c:spPr>
          </c:marker>
          <c:dLbls>
            <c:dLbl>
              <c:idx val="0"/>
              <c:layout>
                <c:manualLayout>
                  <c:x val="2.2870211549457752E-3"/>
                  <c:y val="2.8049341514430212E-2"/>
                </c:manualLayout>
              </c:layout>
              <c:dLblPos val="t"/>
              <c:showVal val="1"/>
            </c:dLbl>
            <c:dLbl>
              <c:idx val="1"/>
              <c:layout>
                <c:manualLayout>
                  <c:x val="2.2870211549457817E-3"/>
                  <c:y val="1.6275978747689743E-2"/>
                </c:manualLayout>
              </c:layout>
              <c:dLblPos val="t"/>
              <c:showVal val="1"/>
            </c:dLbl>
            <c:dLbl>
              <c:idx val="2"/>
              <c:layout>
                <c:manualLayout>
                  <c:x val="2.2870211549457817E-3"/>
                  <c:y val="1.6169601316391741E-2"/>
                </c:manualLayout>
              </c:layout>
              <c:dLblPos val="t"/>
              <c:showVal val="1"/>
            </c:dLbl>
            <c:dLbl>
              <c:idx val="3"/>
              <c:layout>
                <c:manualLayout>
                  <c:x val="4.5740423098914514E-3"/>
                  <c:y val="1.9006564576778903E-2"/>
                </c:manualLayout>
              </c:layout>
              <c:dLblPos val="t"/>
              <c:showVal val="1"/>
            </c:dLbl>
            <c:dLbl>
              <c:idx val="4"/>
              <c:layout>
                <c:manualLayout>
                  <c:x val="0"/>
                  <c:y val="2.2162660131059775E-2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0"/>
                  <c:y val="1.3226260624706681E-2"/>
                </c:manualLayout>
              </c:layout>
              <c:dLblPos val="t"/>
              <c:showVal val="1"/>
            </c:dLbl>
            <c:txPr>
              <a:bodyPr/>
              <a:lstStyle/>
              <a:p>
                <a:pPr algn="ctr" rtl="0">
                  <a:defRPr sz="1000" b="0">
                    <a:latin typeface="Presidencia Firme" pitchFamily="50" charset="0"/>
                  </a:defRPr>
                </a:pPr>
                <a:endParaRPr lang="es-MX"/>
              </a:p>
            </c:txPr>
            <c:dLblPos val="t"/>
            <c:showVal val="1"/>
          </c:dLbls>
          <c:cat>
            <c:numRef>
              <c:f>'g2.5 g2.6'!$B$6:$B$11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'g2.5 g2.6'!$O$6:$O$11</c:f>
              <c:numCache>
                <c:formatCode>_-* #,##0.0_-;\-* #,##0.0_-;_-* "-"??_-;_-@_-</c:formatCode>
                <c:ptCount val="6"/>
                <c:pt idx="0">
                  <c:v>94.6</c:v>
                </c:pt>
                <c:pt idx="1">
                  <c:v>94.8</c:v>
                </c:pt>
                <c:pt idx="2">
                  <c:v>95</c:v>
                </c:pt>
                <c:pt idx="3">
                  <c:v>95.199999999999989</c:v>
                </c:pt>
                <c:pt idx="4">
                  <c:v>95.399999999999991</c:v>
                </c:pt>
                <c:pt idx="5">
                  <c:v>95.6</c:v>
                </c:pt>
              </c:numCache>
            </c:numRef>
          </c:val>
        </c:ser>
        <c:ser>
          <c:idx val="5"/>
          <c:order val="5"/>
          <c:tx>
            <c:strRef>
              <c:f>'g2.5 g2.6'!$Q$4:$Q$5</c:f>
              <c:strCache>
                <c:ptCount val="1"/>
                <c:pt idx="0">
                  <c:v>Zonas rurales Metas 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7"/>
            <c:spPr>
              <a:solidFill>
                <a:srgbClr val="663300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marker>
          <c:dLbls>
            <c:dLbl>
              <c:idx val="0"/>
              <c:layout>
                <c:manualLayout>
                  <c:x val="-6.8610634648371719E-3"/>
                  <c:y val="2.5106000822744841E-2"/>
                </c:manualLayout>
              </c:layout>
              <c:tx>
                <c:rich>
                  <a:bodyPr/>
                  <a:lstStyle/>
                  <a:p>
                    <a:r>
                      <a:rPr b="0">
                        <a:latin typeface="Presidencia Firme" pitchFamily="50" charset="0"/>
                      </a:rPr>
                      <a:t> 59.3 </a:t>
                    </a:r>
                  </a:p>
                </c:rich>
              </c:tx>
              <c:dLblPos val="t"/>
              <c:showVal val="1"/>
            </c:dLbl>
            <c:dLbl>
              <c:idx val="1"/>
              <c:layout>
                <c:manualLayout>
                  <c:x val="-6.0910396492034023E-3"/>
                  <c:y val="3.0886304774817092E-2"/>
                </c:manualLayout>
              </c:layout>
              <c:dLblPos val="t"/>
              <c:showVal val="1"/>
            </c:dLbl>
            <c:dLbl>
              <c:idx val="2"/>
              <c:layout>
                <c:manualLayout>
                  <c:x val="-1.1435105774728421E-2"/>
                  <c:y val="3.0886304774817092E-2"/>
                </c:manualLayout>
              </c:layout>
              <c:dLblPos val="t"/>
              <c:showVal val="1"/>
            </c:dLbl>
            <c:dLbl>
              <c:idx val="3"/>
              <c:layout>
                <c:manualLayout>
                  <c:x val="2.2870211549457552E-3"/>
                  <c:y val="2.8049341514430212E-2"/>
                </c:manualLayout>
              </c:layout>
              <c:dLblPos val="t"/>
              <c:showVal val="1"/>
            </c:dLbl>
            <c:dLbl>
              <c:idx val="4"/>
              <c:layout>
                <c:manualLayout>
                  <c:x val="8.3856473630877334E-17"/>
                  <c:y val="2.8049341514430212E-2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0"/>
                  <c:y val="2.7942964083131992E-2"/>
                </c:manualLayout>
              </c:layout>
              <c:dLblPos val="t"/>
              <c:showVal val="1"/>
            </c:dLbl>
            <c:txPr>
              <a:bodyPr rot="0" vert="horz"/>
              <a:lstStyle/>
              <a:p>
                <a:pPr algn="ctr" rtl="0">
                  <a:defRPr sz="1000" b="0">
                    <a:latin typeface="Presidencia Firme" pitchFamily="50" charset="0"/>
                  </a:defRPr>
                </a:pPr>
                <a:endParaRPr lang="es-MX"/>
              </a:p>
            </c:txPr>
            <c:dLblPos val="t"/>
            <c:showVal val="1"/>
          </c:dLbls>
          <c:cat>
            <c:numRef>
              <c:f>'g2.5 g2.6'!$B$6:$B$11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'g2.5 g2.6'!$Q$6:$Q$11</c:f>
              <c:numCache>
                <c:formatCode>_-* #,##0.0_-;\-* #,##0.0_-;_-* "-"??_-;_-@_-</c:formatCode>
                <c:ptCount val="6"/>
                <c:pt idx="0">
                  <c:v>59.3</c:v>
                </c:pt>
                <c:pt idx="1">
                  <c:v>60.099999999999994</c:v>
                </c:pt>
                <c:pt idx="2">
                  <c:v>60.8</c:v>
                </c:pt>
                <c:pt idx="3">
                  <c:v>61.6</c:v>
                </c:pt>
                <c:pt idx="4">
                  <c:v>62.3</c:v>
                </c:pt>
                <c:pt idx="5">
                  <c:v>63</c:v>
                </c:pt>
              </c:numCache>
            </c:numRef>
          </c:val>
        </c:ser>
        <c:marker val="1"/>
        <c:axId val="89296256"/>
        <c:axId val="89318528"/>
      </c:lineChart>
      <c:catAx>
        <c:axId val="892962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00" b="0">
                <a:latin typeface="Presidencia Base" pitchFamily="50" charset="0"/>
              </a:defRPr>
            </a:pPr>
            <a:endParaRPr lang="es-MX"/>
          </a:p>
        </c:txPr>
        <c:crossAx val="89318528"/>
        <c:crosses val="autoZero"/>
        <c:auto val="1"/>
        <c:lblAlgn val="ctr"/>
        <c:lblOffset val="100"/>
      </c:catAx>
      <c:valAx>
        <c:axId val="89318528"/>
        <c:scaling>
          <c:orientation val="minMax"/>
          <c:max val="100"/>
          <c:min val="5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1000" b="0">
                <a:latin typeface="Presidencia Base" pitchFamily="50" charset="0"/>
              </a:defRPr>
            </a:pPr>
            <a:endParaRPr lang="es-MX"/>
          </a:p>
        </c:txPr>
        <c:crossAx val="89296256"/>
        <c:crosses val="autoZero"/>
        <c:crossBetween val="between"/>
        <c:majorUnit val="10"/>
      </c:valAx>
      <c:valAx>
        <c:axId val="89320064"/>
        <c:scaling>
          <c:orientation val="minMax"/>
          <c:max val="100"/>
          <c:min val="50"/>
        </c:scaling>
        <c:axPos val="r"/>
        <c:numFmt formatCode="_-* #,##0.0_-;\-* #,##0.0_-;_-* &quot;-&quot;??_-;_-@_-" sourceLinked="1"/>
        <c:majorTickMark val="none"/>
        <c:tickLblPos val="none"/>
        <c:crossAx val="88813952"/>
        <c:crosses val="max"/>
        <c:crossBetween val="between"/>
        <c:majorUnit val="20"/>
      </c:valAx>
      <c:catAx>
        <c:axId val="88813952"/>
        <c:scaling>
          <c:orientation val="minMax"/>
        </c:scaling>
        <c:delete val="1"/>
        <c:axPos val="b"/>
        <c:numFmt formatCode="General" sourceLinked="1"/>
        <c:tickLblPos val="none"/>
        <c:crossAx val="89320064"/>
        <c:crosses val="autoZero"/>
        <c:auto val="1"/>
        <c:lblAlgn val="ctr"/>
        <c:lblOffset val="100"/>
      </c:catAx>
      <c:spPr>
        <a:noFill/>
        <a:ln w="12700" cmpd="sng">
          <a:solidFill>
            <a:schemeClr val="accent3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6502226244017953"/>
          <c:y val="0.91947297978481157"/>
          <c:w val="0.71340869698320364"/>
          <c:h val="7.4640338831818434E-2"/>
        </c:manualLayout>
      </c:layout>
      <c:txPr>
        <a:bodyPr/>
        <a:lstStyle/>
        <a:p>
          <a:pPr>
            <a:defRPr sz="1000" b="0">
              <a:latin typeface="Presidencia Base" pitchFamily="50" charset="0"/>
            </a:defRPr>
          </a:pPr>
          <a:endParaRPr lang="es-MX"/>
        </a:p>
      </c:txPr>
    </c:legend>
    <c:plotVisOnly val="1"/>
    <c:dispBlanksAs val="zero"/>
  </c:chart>
  <c:spPr>
    <a:noFill/>
    <a:ln>
      <a:noFill/>
    </a:ln>
  </c:spPr>
  <c:txPr>
    <a:bodyPr/>
    <a:lstStyle/>
    <a:p>
      <a:pPr algn="ctr">
        <a:defRPr lang="es-MX" sz="1200" b="1" i="0" u="none" strike="noStrike" kern="1200" baseline="0">
          <a:solidFill>
            <a:sysClr val="windowText" lastClr="000000"/>
          </a:solidFill>
          <a:latin typeface="Presidencia Fina" pitchFamily="50" charset="0"/>
          <a:ea typeface="+mn-ea"/>
          <a:cs typeface="+mn-cs"/>
        </a:defRPr>
      </a:pPr>
      <a:endParaRPr lang="es-MX"/>
    </a:p>
  </c:txPr>
  <c:printSettings>
    <c:headerFooter/>
    <c:pageMargins b="0.74803149606299646" l="0.70866141732283972" r="0.70866141732283972" t="0.74803149606299646" header="0.31496062992126395" footer="0.31496062992126395"/>
    <c:pageSetup paperSize="11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40821</xdr:rowOff>
    </xdr:from>
    <xdr:to>
      <xdr:col>12</xdr:col>
      <xdr:colOff>0</xdr:colOff>
      <xdr:row>51</xdr:row>
      <xdr:rowOff>81643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0.76649</cdr:x>
      <cdr:y>0.12415</cdr:y>
    </cdr:from>
    <cdr:to>
      <cdr:x>0.95888</cdr:x>
      <cdr:y>0.1673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675586" y="726078"/>
          <a:ext cx="1926584" cy="252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MX" sz="1600" b="0">
              <a:solidFill>
                <a:schemeClr val="tx2">
                  <a:lumMod val="75000"/>
                </a:schemeClr>
              </a:solidFill>
              <a:latin typeface="Presidencia Firme" pitchFamily="50" charset="0"/>
            </a:rPr>
            <a:t>Promedio Nacional 90.7%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19050</xdr:rowOff>
    </xdr:from>
    <xdr:to>
      <xdr:col>13</xdr:col>
      <xdr:colOff>761999</xdr:colOff>
      <xdr:row>30</xdr:row>
      <xdr:rowOff>142875</xdr:rowOff>
    </xdr:to>
    <xdr:graphicFrame macro="">
      <xdr:nvGraphicFramePr>
        <xdr:cNvPr id="110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0.03792</cdr:x>
      <cdr:y>0.22495</cdr:y>
    </cdr:from>
    <cdr:to>
      <cdr:x>0.09534</cdr:x>
      <cdr:y>0.60941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33376" y="1047751"/>
          <a:ext cx="504825" cy="1790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/>
        <a:lstStyle xmlns:a="http://schemas.openxmlformats.org/drawingml/2006/main"/>
        <a:p xmlns:a="http://schemas.openxmlformats.org/drawingml/2006/main">
          <a:r>
            <a:rPr lang="es-MX" sz="1200" b="0">
              <a:latin typeface="Presidencia Firme" pitchFamily="50" charset="0"/>
            </a:rPr>
            <a:t>Millones de habitantes</a:t>
          </a:r>
        </a:p>
      </cdr:txBody>
    </cdr:sp>
  </cdr:relSizeAnchor>
  <cdr:relSizeAnchor xmlns:cdr="http://schemas.openxmlformats.org/drawingml/2006/chartDrawing">
    <cdr:from>
      <cdr:x>0.07476</cdr:x>
      <cdr:y>0.86299</cdr:y>
    </cdr:from>
    <cdr:to>
      <cdr:x>0.11593</cdr:x>
      <cdr:y>0.92843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57225" y="4019551"/>
          <a:ext cx="361951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200" b="0">
              <a:latin typeface="Presidencia Firme" pitchFamily="50" charset="0"/>
            </a:rPr>
            <a:t>Año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750794</xdr:colOff>
      <xdr:row>1</xdr:row>
      <xdr:rowOff>280147</xdr:rowOff>
    </xdr:from>
    <xdr:to>
      <xdr:col>7</xdr:col>
      <xdr:colOff>1469465</xdr:colOff>
      <xdr:row>38</xdr:row>
      <xdr:rowOff>24093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0.68034</cdr:x>
      <cdr:y>0.13959</cdr:y>
    </cdr:from>
    <cdr:to>
      <cdr:x>0.95544</cdr:x>
      <cdr:y>0.19307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154675" y="795596"/>
          <a:ext cx="2084342" cy="304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MX" sz="1400" b="0">
              <a:solidFill>
                <a:schemeClr val="accent3">
                  <a:lumMod val="50000"/>
                </a:schemeClr>
              </a:solidFill>
              <a:latin typeface="Presidencia Firme" pitchFamily="50" charset="0"/>
            </a:rPr>
            <a:t>Promedio</a:t>
          </a:r>
          <a:r>
            <a:rPr lang="es-MX" sz="1400" b="0" baseline="0">
              <a:solidFill>
                <a:schemeClr val="accent3">
                  <a:lumMod val="50000"/>
                </a:schemeClr>
              </a:solidFill>
              <a:latin typeface="Presidencia Firme" pitchFamily="50" charset="0"/>
            </a:rPr>
            <a:t> </a:t>
          </a:r>
          <a:r>
            <a:rPr lang="es-MX" sz="1600" b="0" baseline="0">
              <a:solidFill>
                <a:schemeClr val="accent3">
                  <a:lumMod val="50000"/>
                </a:schemeClr>
              </a:solidFill>
              <a:latin typeface="Presidencia Firme" pitchFamily="50" charset="0"/>
            </a:rPr>
            <a:t>Nacional</a:t>
          </a:r>
          <a:r>
            <a:rPr lang="es-MX" sz="1400" b="0" baseline="0">
              <a:solidFill>
                <a:schemeClr val="accent3">
                  <a:lumMod val="50000"/>
                </a:schemeClr>
              </a:solidFill>
              <a:latin typeface="Presidencia Firme" pitchFamily="50" charset="0"/>
            </a:rPr>
            <a:t> 86.8</a:t>
          </a:r>
          <a:endParaRPr lang="es-MX" sz="1400" b="0">
            <a:solidFill>
              <a:schemeClr val="accent3">
                <a:lumMod val="50000"/>
              </a:schemeClr>
            </a:solidFill>
            <a:latin typeface="Presidencia Firme" pitchFamily="50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15</xdr:row>
      <xdr:rowOff>0</xdr:rowOff>
    </xdr:from>
    <xdr:to>
      <xdr:col>17</xdr:col>
      <xdr:colOff>762000</xdr:colOff>
      <xdr:row>41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15</xdr:row>
      <xdr:rowOff>0</xdr:rowOff>
    </xdr:from>
    <xdr:to>
      <xdr:col>8</xdr:col>
      <xdr:colOff>257175</xdr:colOff>
      <xdr:row>41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761999</xdr:colOff>
      <xdr:row>15</xdr:row>
      <xdr:rowOff>0</xdr:rowOff>
    </xdr:from>
    <xdr:to>
      <xdr:col>30</xdr:col>
      <xdr:colOff>752474</xdr:colOff>
      <xdr:row>41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0.01291</cdr:x>
      <cdr:y>0.25772</cdr:y>
    </cdr:from>
    <cdr:to>
      <cdr:x>0.07243</cdr:x>
      <cdr:y>0.61443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1916" y="1118665"/>
          <a:ext cx="331495" cy="1548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solidFill>
                <a:srgbClr val="006600"/>
              </a:solidFill>
              <a:latin typeface="Presidencia Firme" pitchFamily="50" charset="0"/>
            </a:rPr>
            <a:t>Cobertura %</a:t>
          </a:r>
        </a:p>
      </cdr:txBody>
    </cdr:sp>
  </cdr:relSizeAnchor>
  <cdr:relSizeAnchor xmlns:cdr="http://schemas.openxmlformats.org/drawingml/2006/chartDrawing">
    <cdr:from>
      <cdr:x>0.06439</cdr:x>
      <cdr:y>0.86227</cdr:y>
    </cdr:from>
    <cdr:to>
      <cdr:x>0.17505</cdr:x>
      <cdr:y>0.92074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58588" y="3742765"/>
          <a:ext cx="616325" cy="253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MX" sz="1000" b="1">
              <a:solidFill>
                <a:srgbClr val="006600"/>
              </a:solidFill>
              <a:latin typeface="Presidencia Fina" pitchFamily="50" charset="0"/>
            </a:rPr>
            <a:t>Año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0.30905</cdr:y>
    </cdr:from>
    <cdr:to>
      <cdr:x>0.05357</cdr:x>
      <cdr:y>0.54305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1333501"/>
          <a:ext cx="314324" cy="1009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/>
        <a:lstStyle xmlns:a="http://schemas.openxmlformats.org/drawingml/2006/main"/>
        <a:p xmlns:a="http://schemas.openxmlformats.org/drawingml/2006/main">
          <a:pPr algn="ctr"/>
          <a:r>
            <a:rPr lang="es-MX" sz="1100" b="0">
              <a:solidFill>
                <a:sysClr val="windowText" lastClr="000000"/>
              </a:solidFill>
              <a:latin typeface="Presidencia Firme" pitchFamily="50" charset="0"/>
            </a:rPr>
            <a:t>Cobertura %</a:t>
          </a:r>
        </a:p>
        <a:p xmlns:a="http://schemas.openxmlformats.org/drawingml/2006/main">
          <a:pPr algn="ctr"/>
          <a:endParaRPr lang="es-MX" sz="1100" b="0">
            <a:solidFill>
              <a:sysClr val="windowText" lastClr="000000"/>
            </a:solidFill>
            <a:latin typeface="Presidencia Firme" pitchFamily="50" charset="0"/>
          </a:endParaRPr>
        </a:p>
        <a:p xmlns:a="http://schemas.openxmlformats.org/drawingml/2006/main">
          <a:pPr algn="ctr"/>
          <a:endParaRPr lang="es-MX" sz="1100" b="0">
            <a:solidFill>
              <a:sysClr val="windowText" lastClr="000000"/>
            </a:solidFill>
            <a:latin typeface="Presidencia Firme" pitchFamily="50" charset="0"/>
          </a:endParaRPr>
        </a:p>
      </cdr:txBody>
    </cdr:sp>
  </cdr:relSizeAnchor>
  <cdr:relSizeAnchor xmlns:cdr="http://schemas.openxmlformats.org/drawingml/2006/chartDrawing">
    <cdr:from>
      <cdr:x>0.05844</cdr:x>
      <cdr:y>0.86317</cdr:y>
    </cdr:from>
    <cdr:to>
      <cdr:x>0.14935</cdr:x>
      <cdr:y>0.92165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42899" y="3724427"/>
          <a:ext cx="533399" cy="2523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MX" sz="1000" b="1">
              <a:solidFill>
                <a:srgbClr val="000099"/>
              </a:solidFill>
              <a:latin typeface="Presidencia Fina" pitchFamily="50" charset="0"/>
            </a:rPr>
            <a:t>Año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0.32939</cdr:y>
    </cdr:from>
    <cdr:to>
      <cdr:x>0.04091</cdr:x>
      <cdr:y>0.55361</cdr:y>
    </cdr:to>
    <cdr:sp macro="" textlink="">
      <cdr:nvSpPr>
        <cdr:cNvPr id="2" name="1 CuadroTexto"/>
        <cdr:cNvSpPr txBox="1"/>
      </cdr:nvSpPr>
      <cdr:spPr>
        <a:xfrm xmlns:a="http://schemas.openxmlformats.org/drawingml/2006/main" rot="16200000">
          <a:off x="-344245" y="1765501"/>
          <a:ext cx="967488" cy="278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indent="0" algn="l"/>
          <a:r>
            <a:rPr lang="es-MX" sz="1200" b="1">
              <a:solidFill>
                <a:srgbClr val="006600"/>
              </a:solidFill>
              <a:latin typeface="Presidencia Firme" pitchFamily="50" charset="0"/>
              <a:ea typeface="+mn-ea"/>
              <a:cs typeface="+mn-cs"/>
            </a:rPr>
            <a:t>cobertura %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</xdr:colOff>
      <xdr:row>10</xdr:row>
      <xdr:rowOff>0</xdr:rowOff>
    </xdr:from>
    <xdr:to>
      <xdr:col>20</xdr:col>
      <xdr:colOff>761999</xdr:colOff>
      <xdr:row>33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285750</xdr:colOff>
      <xdr:row>38</xdr:row>
      <xdr:rowOff>0</xdr:rowOff>
    </xdr:from>
    <xdr:to>
      <xdr:col>20</xdr:col>
      <xdr:colOff>723900</xdr:colOff>
      <xdr:row>63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29936</xdr:colOff>
      <xdr:row>15</xdr:row>
      <xdr:rowOff>149680</xdr:rowOff>
    </xdr:from>
    <xdr:to>
      <xdr:col>11</xdr:col>
      <xdr:colOff>559254</xdr:colOff>
      <xdr:row>52</xdr:row>
      <xdr:rowOff>1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0.16959</cdr:x>
      <cdr:y>0.59623</cdr:y>
    </cdr:from>
    <cdr:to>
      <cdr:x>0.53083</cdr:x>
      <cdr:y>0.74268</cdr:y>
    </cdr:to>
    <cdr:sp macro="" textlink="">
      <cdr:nvSpPr>
        <cdr:cNvPr id="4" name="3 Rectángulo redondeado"/>
        <cdr:cNvSpPr/>
      </cdr:nvSpPr>
      <cdr:spPr>
        <a:xfrm xmlns:a="http://schemas.openxmlformats.org/drawingml/2006/main">
          <a:off x="1545885" y="2714605"/>
          <a:ext cx="3292856" cy="666770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99CC"/>
        </a:solidFill>
        <a:ln xmlns:a="http://schemas.openxmlformats.org/drawingml/2006/main" w="25400" cap="flat" cmpd="sng" algn="ctr">
          <a:solidFill>
            <a:schemeClr val="bg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pPr marL="0" indent="0" algn="ctr"/>
          <a:r>
            <a:rPr lang="es-MX" sz="1400" b="0">
              <a:solidFill>
                <a:sysClr val="windowText" lastClr="000000"/>
              </a:solidFill>
              <a:latin typeface="Presidencia Firme" pitchFamily="50" charset="0"/>
              <a:ea typeface="+mn-ea"/>
              <a:cs typeface="+mn-cs"/>
            </a:rPr>
            <a:t>De 1990 a 2009 se han incorporado 30.8 millones de habitantes </a:t>
          </a:r>
        </a:p>
      </cdr:txBody>
    </cdr:sp>
  </cdr:relSizeAnchor>
  <cdr:relSizeAnchor xmlns:cdr="http://schemas.openxmlformats.org/drawingml/2006/chartDrawing">
    <cdr:from>
      <cdr:x>0.66562</cdr:x>
      <cdr:y>0.40795</cdr:y>
    </cdr:from>
    <cdr:to>
      <cdr:x>0.96133</cdr:x>
      <cdr:y>0.5795</cdr:y>
    </cdr:to>
    <cdr:sp macro="" textlink="">
      <cdr:nvSpPr>
        <cdr:cNvPr id="5" name="1 Rectángulo redondeado"/>
        <cdr:cNvSpPr/>
      </cdr:nvSpPr>
      <cdr:spPr>
        <a:xfrm xmlns:a="http://schemas.openxmlformats.org/drawingml/2006/main">
          <a:off x="6067426" y="1857357"/>
          <a:ext cx="2695536" cy="781068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 w="25400" cap="flat" cmpd="sng" algn="ctr">
          <a:solidFill>
            <a:schemeClr val="bg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s-MX" sz="1400" b="0">
              <a:solidFill>
                <a:sysClr val="windowText" lastClr="000000"/>
              </a:solidFill>
              <a:latin typeface="Presidencia Firme" pitchFamily="50" charset="0"/>
              <a:ea typeface="+mn-ea"/>
              <a:cs typeface="+mn-cs"/>
            </a:rPr>
            <a:t>De 2010 a 2015 se tiene contemplado incorporar 6 millones de habitantes </a:t>
          </a:r>
        </a:p>
        <a:p xmlns:a="http://schemas.openxmlformats.org/drawingml/2006/main">
          <a:pPr marL="0" indent="0" algn="ctr"/>
          <a:endParaRPr lang="es-MX" sz="1400" b="0">
            <a:solidFill>
              <a:sysClr val="windowText" lastClr="000000"/>
            </a:solidFill>
            <a:latin typeface="Presidencia Firme" pitchFamily="50" charset="0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0.8475</cdr:x>
      <cdr:y>0.03556</cdr:y>
    </cdr:from>
    <cdr:to>
      <cdr:x>0.96134</cdr:x>
      <cdr:y>0.14226</cdr:y>
    </cdr:to>
    <cdr:sp macro="" textlink="">
      <cdr:nvSpPr>
        <cdr:cNvPr id="6" name="1 Rectángulo redondeado"/>
        <cdr:cNvSpPr/>
      </cdr:nvSpPr>
      <cdr:spPr>
        <a:xfrm xmlns:a="http://schemas.openxmlformats.org/drawingml/2006/main">
          <a:off x="7725323" y="161924"/>
          <a:ext cx="1037677" cy="485775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5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r>
            <a:rPr lang="es-MX" sz="1200" b="0">
              <a:solidFill>
                <a:schemeClr val="bg1"/>
              </a:solidFill>
              <a:latin typeface="Presidencia Base" pitchFamily="50" charset="0"/>
              <a:ea typeface="+mn-ea"/>
              <a:cs typeface="+mn-cs"/>
            </a:rPr>
            <a:t>Nueva Meta</a:t>
          </a:r>
        </a:p>
        <a:p xmlns:a="http://schemas.openxmlformats.org/drawingml/2006/main">
          <a:pPr marL="0" indent="0" algn="ctr"/>
          <a:r>
            <a:rPr lang="es-MX" sz="1200" b="0">
              <a:solidFill>
                <a:schemeClr val="bg1"/>
              </a:solidFill>
              <a:latin typeface="Presidencia Base" pitchFamily="50" charset="0"/>
              <a:ea typeface="+mn-ea"/>
              <a:cs typeface="+mn-cs"/>
            </a:rPr>
            <a:t>2012-2015</a:t>
          </a:r>
        </a:p>
      </cdr:txBody>
    </cdr:sp>
  </cdr:relSizeAnchor>
  <cdr:relSizeAnchor xmlns:cdr="http://schemas.openxmlformats.org/drawingml/2006/chartDrawing">
    <cdr:from>
      <cdr:x>0</cdr:x>
      <cdr:y>0.36842</cdr:y>
    </cdr:from>
    <cdr:to>
      <cdr:x>0.02921</cdr:x>
      <cdr:y>0.54656</cdr:y>
    </cdr:to>
    <cdr:sp macro="" textlink="">
      <cdr:nvSpPr>
        <cdr:cNvPr id="7" name="6 CuadroTexto"/>
        <cdr:cNvSpPr txBox="1"/>
      </cdr:nvSpPr>
      <cdr:spPr>
        <a:xfrm xmlns:a="http://schemas.openxmlformats.org/drawingml/2006/main" rot="16200000">
          <a:off x="-276225" y="2009775"/>
          <a:ext cx="838200" cy="2857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MX" sz="1200" b="1">
              <a:solidFill>
                <a:schemeClr val="accent1">
                  <a:lumMod val="75000"/>
                </a:schemeClr>
              </a:solidFill>
              <a:latin typeface="Presidencia Firme" pitchFamily="50" charset="0"/>
            </a:rPr>
            <a:t>Porcentaje  %</a:t>
          </a:r>
        </a:p>
      </cdr:txBody>
    </cdr:sp>
  </cdr:relSizeAnchor>
  <cdr:relSizeAnchor xmlns:cdr="http://schemas.openxmlformats.org/drawingml/2006/chartDrawing">
    <cdr:from>
      <cdr:x>0</cdr:x>
      <cdr:y>0.92504</cdr:y>
    </cdr:from>
    <cdr:to>
      <cdr:x>0.06733</cdr:x>
      <cdr:y>0.97898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0" y="4211652"/>
          <a:ext cx="613741" cy="245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MX" sz="1200" b="0">
              <a:solidFill>
                <a:sysClr val="windowText" lastClr="000000"/>
              </a:solidFill>
              <a:latin typeface="Presidencia Base" pitchFamily="50" charset="0"/>
            </a:rPr>
            <a:t>Año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0.00248</cdr:x>
      <cdr:y>0.00517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0.00248</cdr:x>
      <cdr:y>0.00517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0.46742</cdr:y>
    </cdr:from>
    <cdr:to>
      <cdr:x>0.02901</cdr:x>
      <cdr:y>0.63056</cdr:y>
    </cdr:to>
    <cdr:sp macro="" textlink="">
      <cdr:nvSpPr>
        <cdr:cNvPr id="5" name="4 CuadroTexto"/>
        <cdr:cNvSpPr txBox="1"/>
      </cdr:nvSpPr>
      <cdr:spPr>
        <a:xfrm xmlns:a="http://schemas.openxmlformats.org/drawingml/2006/main" rot="16200000">
          <a:off x="-257035" y="2487575"/>
          <a:ext cx="778508" cy="26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indent="0"/>
          <a:r>
            <a:rPr lang="es-MX" sz="1200" b="1">
              <a:solidFill>
                <a:srgbClr val="4F6228"/>
              </a:solidFill>
              <a:latin typeface="Presidencia Firme" pitchFamily="50" charset="0"/>
              <a:ea typeface="+mn-ea"/>
              <a:cs typeface="+mn-cs"/>
            </a:rPr>
            <a:t>Porcentaje %</a:t>
          </a:r>
        </a:p>
      </cdr:txBody>
    </cdr:sp>
  </cdr:relSizeAnchor>
  <cdr:relSizeAnchor xmlns:cdr="http://schemas.openxmlformats.org/drawingml/2006/chartDrawing">
    <cdr:from>
      <cdr:x>0.17892</cdr:x>
      <cdr:y>0.73653</cdr:y>
    </cdr:from>
    <cdr:to>
      <cdr:x>0.54023</cdr:x>
      <cdr:y>0.8404</cdr:y>
    </cdr:to>
    <cdr:sp macro="" textlink="">
      <cdr:nvSpPr>
        <cdr:cNvPr id="6" name="1 Rectángulo redondeado"/>
        <cdr:cNvSpPr/>
      </cdr:nvSpPr>
      <cdr:spPr>
        <a:xfrm xmlns:a="http://schemas.openxmlformats.org/drawingml/2006/main">
          <a:off x="1630931" y="3514725"/>
          <a:ext cx="3293494" cy="495685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CC6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MX" sz="1400" b="0">
              <a:solidFill>
                <a:sysClr val="windowText" lastClr="000000"/>
              </a:solidFill>
              <a:latin typeface="Presidencia Firme" pitchFamily="50" charset="0"/>
            </a:rPr>
            <a:t>De 1990 a</a:t>
          </a:r>
          <a:r>
            <a:rPr lang="es-MX" sz="1400" b="0" baseline="0">
              <a:solidFill>
                <a:sysClr val="windowText" lastClr="000000"/>
              </a:solidFill>
              <a:latin typeface="Presidencia Firme" pitchFamily="50" charset="0"/>
            </a:rPr>
            <a:t> 2009 se han incorporado 40.4 millones de habitantes </a:t>
          </a:r>
          <a:endParaRPr lang="es-MX" sz="1400" b="0">
            <a:solidFill>
              <a:sysClr val="windowText" lastClr="000000"/>
            </a:solidFill>
            <a:latin typeface="Presidencia Firme" pitchFamily="50" charset="0"/>
          </a:endParaRPr>
        </a:p>
      </cdr:txBody>
    </cdr:sp>
  </cdr:relSizeAnchor>
  <cdr:relSizeAnchor xmlns:cdr="http://schemas.openxmlformats.org/drawingml/2006/chartDrawing">
    <cdr:from>
      <cdr:x>0.66667</cdr:x>
      <cdr:y>0.56687</cdr:y>
    </cdr:from>
    <cdr:to>
      <cdr:x>0.96029</cdr:x>
      <cdr:y>0.71657</cdr:y>
    </cdr:to>
    <cdr:sp macro="" textlink="">
      <cdr:nvSpPr>
        <cdr:cNvPr id="7" name="1 Rectángulo redondeado"/>
        <cdr:cNvSpPr/>
      </cdr:nvSpPr>
      <cdr:spPr>
        <a:xfrm xmlns:a="http://schemas.openxmlformats.org/drawingml/2006/main">
          <a:off x="6076949" y="2705098"/>
          <a:ext cx="2676525" cy="71437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6">
            <a:lumMod val="60000"/>
            <a:lumOff val="40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r>
            <a:rPr lang="es-MX" sz="1400" b="0">
              <a:solidFill>
                <a:sysClr val="windowText" lastClr="000000"/>
              </a:solidFill>
              <a:latin typeface="Presidencia Firme" pitchFamily="50" charset="0"/>
            </a:rPr>
            <a:t>De 2010 a 2015 se tiene contemplado incorporar 6 millones de habitantes </a:t>
          </a:r>
        </a:p>
      </cdr:txBody>
    </cdr:sp>
  </cdr:relSizeAnchor>
  <cdr:relSizeAnchor xmlns:cdr="http://schemas.openxmlformats.org/drawingml/2006/chartDrawing">
    <cdr:from>
      <cdr:x>0.83004</cdr:x>
      <cdr:y>0.03355</cdr:y>
    </cdr:from>
    <cdr:to>
      <cdr:x>0.95673</cdr:x>
      <cdr:y>0.15073</cdr:y>
    </cdr:to>
    <cdr:sp macro="" textlink="">
      <cdr:nvSpPr>
        <cdr:cNvPr id="8" name="1 Rectángulo redondeado"/>
        <cdr:cNvSpPr/>
      </cdr:nvSpPr>
      <cdr:spPr>
        <a:xfrm xmlns:a="http://schemas.openxmlformats.org/drawingml/2006/main">
          <a:off x="7566188" y="160120"/>
          <a:ext cx="1154834" cy="55918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2D050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r>
            <a:rPr lang="es-MX" sz="1200" b="1">
              <a:solidFill>
                <a:schemeClr val="bg2">
                  <a:lumMod val="10000"/>
                </a:schemeClr>
              </a:solidFill>
              <a:latin typeface="Presidencia Base" pitchFamily="50" charset="0"/>
              <a:ea typeface="+mn-ea"/>
              <a:cs typeface="+mn-cs"/>
            </a:rPr>
            <a:t>Nueva</a:t>
          </a:r>
          <a:r>
            <a:rPr lang="es-MX" sz="1200" b="1" baseline="0">
              <a:solidFill>
                <a:schemeClr val="bg2">
                  <a:lumMod val="10000"/>
                </a:schemeClr>
              </a:solidFill>
              <a:latin typeface="Presidencia Base" pitchFamily="50" charset="0"/>
              <a:ea typeface="+mn-ea"/>
              <a:cs typeface="+mn-cs"/>
            </a:rPr>
            <a:t> Meta</a:t>
          </a:r>
          <a:endParaRPr lang="es-MX" sz="1200" b="1">
            <a:solidFill>
              <a:schemeClr val="bg2">
                <a:lumMod val="10000"/>
              </a:schemeClr>
            </a:solidFill>
            <a:latin typeface="Presidencia Base" pitchFamily="50" charset="0"/>
            <a:ea typeface="+mn-ea"/>
            <a:cs typeface="+mn-cs"/>
          </a:endParaRPr>
        </a:p>
        <a:p xmlns:a="http://schemas.openxmlformats.org/drawingml/2006/main">
          <a:pPr marL="0" indent="0" algn="ctr"/>
          <a:r>
            <a:rPr lang="es-MX" sz="1200" b="1">
              <a:solidFill>
                <a:schemeClr val="bg2">
                  <a:lumMod val="10000"/>
                </a:schemeClr>
              </a:solidFill>
              <a:latin typeface="Presidencia Base" pitchFamily="50" charset="0"/>
              <a:ea typeface="+mn-ea"/>
              <a:cs typeface="+mn-cs"/>
            </a:rPr>
            <a:t> 2012-2015</a:t>
          </a:r>
        </a:p>
      </cdr:txBody>
    </cdr:sp>
  </cdr:relSizeAnchor>
  <cdr:relSizeAnchor xmlns:cdr="http://schemas.openxmlformats.org/drawingml/2006/chartDrawing">
    <cdr:from>
      <cdr:x>0.02613</cdr:x>
      <cdr:y>0.91336</cdr:y>
    </cdr:from>
    <cdr:to>
      <cdr:x>0.09374</cdr:x>
      <cdr:y>0.96572</cdr:y>
    </cdr:to>
    <cdr:sp macro="" textlink="">
      <cdr:nvSpPr>
        <cdr:cNvPr id="9" name="1 CuadroTexto"/>
        <cdr:cNvSpPr txBox="1"/>
      </cdr:nvSpPr>
      <cdr:spPr>
        <a:xfrm xmlns:a="http://schemas.openxmlformats.org/drawingml/2006/main">
          <a:off x="238142" y="4358596"/>
          <a:ext cx="616294" cy="249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ctr"/>
          <a:r>
            <a:rPr lang="es-MX" sz="1200" b="0">
              <a:solidFill>
                <a:sysClr val="windowText" lastClr="000000"/>
              </a:solidFill>
              <a:latin typeface="Presidencia Base" pitchFamily="50" charset="0"/>
              <a:ea typeface="+mn-ea"/>
              <a:cs typeface="+mn-cs"/>
            </a:rPr>
            <a:t>Año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137583</xdr:colOff>
      <xdr:row>4</xdr:row>
      <xdr:rowOff>28575</xdr:rowOff>
    </xdr:from>
    <xdr:to>
      <xdr:col>15</xdr:col>
      <xdr:colOff>38100</xdr:colOff>
      <xdr:row>37</xdr:row>
      <xdr:rowOff>38100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0.00121</cdr:x>
      <cdr:y>0.79395</cdr:y>
    </cdr:from>
    <cdr:to>
      <cdr:x>0.1361</cdr:x>
      <cdr:y>0.8581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700" y="5886063"/>
          <a:ext cx="1411817" cy="475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1200" b="0">
              <a:latin typeface="Presidencia Base" pitchFamily="50" charset="0"/>
              <a:cs typeface="Arial" pitchFamily="34" charset="0"/>
            </a:rPr>
            <a:t>Entidad</a:t>
          </a:r>
          <a:r>
            <a:rPr lang="es-MX" sz="1200" b="0" baseline="0">
              <a:latin typeface="Presidencia Base" pitchFamily="50" charset="0"/>
              <a:cs typeface="Arial" pitchFamily="34" charset="0"/>
            </a:rPr>
            <a:t> Federativa</a:t>
          </a:r>
          <a:endParaRPr lang="es-MX" sz="1200" b="0">
            <a:latin typeface="Presidencia Base" pitchFamily="50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0.01959</cdr:x>
      <cdr:y>0.29794</cdr:y>
    </cdr:from>
    <cdr:to>
      <cdr:x>0.07424</cdr:x>
      <cdr:y>0.44912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39703" y="1902897"/>
          <a:ext cx="883673" cy="560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s-MX" sz="1400" b="0">
              <a:solidFill>
                <a:srgbClr val="FF0000"/>
              </a:solidFill>
              <a:latin typeface="Presidencia Base" pitchFamily="50" charset="0"/>
            </a:rPr>
            <a:t>Caudal  m</a:t>
          </a:r>
          <a:r>
            <a:rPr lang="es-MX" sz="1400" b="0" baseline="30000">
              <a:solidFill>
                <a:srgbClr val="FF0000"/>
              </a:solidFill>
              <a:latin typeface="Presidencia Base" pitchFamily="50" charset="0"/>
            </a:rPr>
            <a:t>3</a:t>
          </a:r>
          <a:r>
            <a:rPr lang="es-MX" sz="1400" b="0">
              <a:solidFill>
                <a:srgbClr val="FF0000"/>
              </a:solidFill>
              <a:latin typeface="Presidencia Base" pitchFamily="50" charset="0"/>
            </a:rPr>
            <a:t>/s</a:t>
          </a:r>
        </a:p>
      </cdr:txBody>
    </cdr:sp>
  </cdr:relSizeAnchor>
  <cdr:relSizeAnchor xmlns:cdr="http://schemas.openxmlformats.org/drawingml/2006/chartDrawing">
    <cdr:from>
      <cdr:x>0.9536</cdr:x>
      <cdr:y>0.26902</cdr:y>
    </cdr:from>
    <cdr:to>
      <cdr:x>1</cdr:x>
      <cdr:y>0.45071</cdr:y>
    </cdr:to>
    <cdr:sp macro="" textlink="">
      <cdr:nvSpPr>
        <cdr:cNvPr id="4" name="3 CuadroTexto"/>
        <cdr:cNvSpPr txBox="1"/>
      </cdr:nvSpPr>
      <cdr:spPr>
        <a:xfrm xmlns:a="http://schemas.openxmlformats.org/drawingml/2006/main" rot="16200000">
          <a:off x="9494580" y="1865317"/>
          <a:ext cx="1062010" cy="476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s-MX" sz="1400" b="0">
              <a:solidFill>
                <a:srgbClr val="0000FF"/>
              </a:solidFill>
              <a:latin typeface="Presidencia Base" pitchFamily="50" charset="0"/>
            </a:rPr>
            <a:t>Cobertura  %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76200</xdr:rowOff>
    </xdr:from>
    <xdr:to>
      <xdr:col>28</xdr:col>
      <xdr:colOff>558800</xdr:colOff>
      <xdr:row>35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0.68089</cdr:y>
    </cdr:from>
    <cdr:to>
      <cdr:x>0.0794</cdr:x>
      <cdr:y>0.74504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979928"/>
          <a:ext cx="814916" cy="374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900" b="1">
              <a:latin typeface="Arial" pitchFamily="34" charset="0"/>
              <a:cs typeface="Arial" pitchFamily="34" charset="0"/>
            </a:rPr>
            <a:t>Entidad</a:t>
          </a:r>
          <a:r>
            <a:rPr lang="es-MX" sz="900" b="1" baseline="0">
              <a:latin typeface="Arial" pitchFamily="34" charset="0"/>
              <a:cs typeface="Arial" pitchFamily="34" charset="0"/>
            </a:rPr>
            <a:t> Federativa</a:t>
          </a:r>
          <a:endParaRPr lang="es-MX" sz="9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0.01959</cdr:x>
      <cdr:y>0.29794</cdr:y>
    </cdr:from>
    <cdr:to>
      <cdr:x>0.07424</cdr:x>
      <cdr:y>0.44912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39703" y="1902897"/>
          <a:ext cx="883673" cy="560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s-MX" sz="1200" b="1">
              <a:solidFill>
                <a:srgbClr val="FF0000"/>
              </a:solidFill>
            </a:rPr>
            <a:t>Caudal  m3/s</a:t>
          </a:r>
        </a:p>
      </cdr:txBody>
    </cdr:sp>
  </cdr:relSizeAnchor>
  <cdr:relSizeAnchor xmlns:cdr="http://schemas.openxmlformats.org/drawingml/2006/chartDrawing">
    <cdr:from>
      <cdr:x>0.9536</cdr:x>
      <cdr:y>0.26902</cdr:y>
    </cdr:from>
    <cdr:to>
      <cdr:x>1</cdr:x>
      <cdr:y>0.45071</cdr:y>
    </cdr:to>
    <cdr:sp macro="" textlink="">
      <cdr:nvSpPr>
        <cdr:cNvPr id="4" name="3 CuadroTexto"/>
        <cdr:cNvSpPr txBox="1"/>
      </cdr:nvSpPr>
      <cdr:spPr>
        <a:xfrm xmlns:a="http://schemas.openxmlformats.org/drawingml/2006/main" rot="16200000">
          <a:off x="9494580" y="1865317"/>
          <a:ext cx="1062010" cy="476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s-MX" sz="1200" b="1">
              <a:solidFill>
                <a:srgbClr val="0000FF"/>
              </a:solidFill>
            </a:rPr>
            <a:t>Cobertura  %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39</xdr:row>
      <xdr:rowOff>85725</xdr:rowOff>
    </xdr:from>
    <xdr:to>
      <xdr:col>1</xdr:col>
      <xdr:colOff>304801</xdr:colOff>
      <xdr:row>40</xdr:row>
      <xdr:rowOff>104775</xdr:rowOff>
    </xdr:to>
    <xdr:sp macro="" textlink="">
      <xdr:nvSpPr>
        <xdr:cNvPr id="2" name="1 Rectángulo"/>
        <xdr:cNvSpPr/>
      </xdr:nvSpPr>
      <xdr:spPr>
        <a:xfrm>
          <a:off x="200026" y="7972425"/>
          <a:ext cx="285750" cy="180975"/>
        </a:xfrm>
        <a:prstGeom prst="rect">
          <a:avLst/>
        </a:prstGeom>
        <a:solidFill>
          <a:srgbClr val="FF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MX" sz="1100">
            <a:ln>
              <a:noFill/>
            </a:ln>
          </a:endParaRPr>
        </a:p>
      </xdr:txBody>
    </xdr:sp>
    <xdr:clientData/>
  </xdr:twoCellAnchor>
  <xdr:twoCellAnchor>
    <xdr:from>
      <xdr:col>1</xdr:col>
      <xdr:colOff>304801</xdr:colOff>
      <xdr:row>39</xdr:row>
      <xdr:rowOff>85725</xdr:rowOff>
    </xdr:from>
    <xdr:to>
      <xdr:col>1</xdr:col>
      <xdr:colOff>590551</xdr:colOff>
      <xdr:row>40</xdr:row>
      <xdr:rowOff>104775</xdr:rowOff>
    </xdr:to>
    <xdr:sp macro="" textlink="">
      <xdr:nvSpPr>
        <xdr:cNvPr id="3" name="2 Rectángulo"/>
        <xdr:cNvSpPr/>
      </xdr:nvSpPr>
      <xdr:spPr>
        <a:xfrm>
          <a:off x="485776" y="7972425"/>
          <a:ext cx="285750" cy="1809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s-MX" sz="1100">
            <a:ln>
              <a:noFill/>
            </a:ln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647700</xdr:colOff>
      <xdr:row>39</xdr:row>
      <xdr:rowOff>57150</xdr:rowOff>
    </xdr:from>
    <xdr:ext cx="3179332" cy="233910"/>
    <xdr:sp macro="" textlink="">
      <xdr:nvSpPr>
        <xdr:cNvPr id="4" name="3 CuadroTexto"/>
        <xdr:cNvSpPr txBox="1"/>
      </xdr:nvSpPr>
      <xdr:spPr>
        <a:xfrm>
          <a:off x="825500" y="8591550"/>
          <a:ext cx="3179332" cy="233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MX" sz="1000">
              <a:solidFill>
                <a:schemeClr val="tx2">
                  <a:lumMod val="50000"/>
                </a:schemeClr>
              </a:solidFill>
              <a:latin typeface="Presidencia Firme" pitchFamily="50" charset="0"/>
            </a:rPr>
            <a:t>Datos que presentan cambios considerables de un año a otro</a:t>
          </a:r>
        </a:p>
      </xdr:txBody>
    </xdr:sp>
    <xdr:clientData/>
  </xdr:oneCellAnchor>
  <xdr:twoCellAnchor>
    <xdr:from>
      <xdr:col>13</xdr:col>
      <xdr:colOff>19051</xdr:colOff>
      <xdr:row>39</xdr:row>
      <xdr:rowOff>85725</xdr:rowOff>
    </xdr:from>
    <xdr:to>
      <xdr:col>13</xdr:col>
      <xdr:colOff>304801</xdr:colOff>
      <xdr:row>40</xdr:row>
      <xdr:rowOff>104775</xdr:rowOff>
    </xdr:to>
    <xdr:sp macro="" textlink="">
      <xdr:nvSpPr>
        <xdr:cNvPr id="5" name="4 Rectángulo"/>
        <xdr:cNvSpPr/>
      </xdr:nvSpPr>
      <xdr:spPr>
        <a:xfrm>
          <a:off x="196851" y="8620125"/>
          <a:ext cx="285750" cy="184150"/>
        </a:xfrm>
        <a:prstGeom prst="rect">
          <a:avLst/>
        </a:prstGeom>
        <a:solidFill>
          <a:srgbClr val="FF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MX" sz="1100">
            <a:ln>
              <a:noFill/>
            </a:ln>
          </a:endParaRPr>
        </a:p>
      </xdr:txBody>
    </xdr:sp>
    <xdr:clientData/>
  </xdr:twoCellAnchor>
  <xdr:twoCellAnchor>
    <xdr:from>
      <xdr:col>13</xdr:col>
      <xdr:colOff>304801</xdr:colOff>
      <xdr:row>39</xdr:row>
      <xdr:rowOff>85725</xdr:rowOff>
    </xdr:from>
    <xdr:to>
      <xdr:col>13</xdr:col>
      <xdr:colOff>590551</xdr:colOff>
      <xdr:row>40</xdr:row>
      <xdr:rowOff>104775</xdr:rowOff>
    </xdr:to>
    <xdr:sp macro="" textlink="">
      <xdr:nvSpPr>
        <xdr:cNvPr id="6" name="5 Rectángulo"/>
        <xdr:cNvSpPr/>
      </xdr:nvSpPr>
      <xdr:spPr>
        <a:xfrm>
          <a:off x="482601" y="8620125"/>
          <a:ext cx="285750" cy="1841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s-MX" sz="1100">
            <a:ln>
              <a:noFill/>
            </a:ln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419100</xdr:rowOff>
    </xdr:from>
    <xdr:to>
      <xdr:col>12</xdr:col>
      <xdr:colOff>247650</xdr:colOff>
      <xdr:row>36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0.09429</cdr:x>
      <cdr:y>0.77339</cdr:y>
    </cdr:from>
    <cdr:to>
      <cdr:x>0.17531</cdr:x>
      <cdr:y>0.8374</cdr:y>
    </cdr:to>
    <cdr:sp macro="" textlink="">
      <cdr:nvSpPr>
        <cdr:cNvPr id="2" name="2 CuadroTexto"/>
        <cdr:cNvSpPr txBox="1"/>
      </cdr:nvSpPr>
      <cdr:spPr>
        <a:xfrm xmlns:a="http://schemas.openxmlformats.org/drawingml/2006/main">
          <a:off x="676275" y="3624338"/>
          <a:ext cx="581105" cy="29996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MX" sz="1200" b="0">
              <a:solidFill>
                <a:srgbClr val="0000FF"/>
              </a:solidFill>
              <a:latin typeface="Presidencia Base" pitchFamily="50" charset="0"/>
            </a:rPr>
            <a:t>Año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8</xdr:row>
      <xdr:rowOff>38101</xdr:rowOff>
    </xdr:from>
    <xdr:to>
      <xdr:col>9</xdr:col>
      <xdr:colOff>638175</xdr:colOff>
      <xdr:row>29</xdr:row>
      <xdr:rowOff>38101</xdr:rowOff>
    </xdr:to>
    <xdr:graphicFrame macro="">
      <xdr:nvGraphicFramePr>
        <xdr:cNvPr id="40448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533401</xdr:colOff>
      <xdr:row>25</xdr:row>
      <xdr:rowOff>19051</xdr:rowOff>
    </xdr:from>
    <xdr:to>
      <xdr:col>1</xdr:col>
      <xdr:colOff>962025</xdr:colOff>
      <xdr:row>26</xdr:row>
      <xdr:rowOff>57150</xdr:rowOff>
    </xdr:to>
    <xdr:sp macro="" textlink="">
      <xdr:nvSpPr>
        <xdr:cNvPr id="3" name="2 CuadroTexto"/>
        <xdr:cNvSpPr txBox="1"/>
      </xdr:nvSpPr>
      <xdr:spPr>
        <a:xfrm>
          <a:off x="714376" y="5124451"/>
          <a:ext cx="428624" cy="228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050" b="1">
              <a:solidFill>
                <a:schemeClr val="accent1">
                  <a:lumMod val="50000"/>
                </a:schemeClr>
              </a:solidFill>
              <a:latin typeface="Presidencia Base" pitchFamily="50" charset="0"/>
            </a:rPr>
            <a:t>Año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13</xdr:row>
      <xdr:rowOff>403225</xdr:rowOff>
    </xdr:from>
    <xdr:to>
      <xdr:col>4</xdr:col>
      <xdr:colOff>1139823</xdr:colOff>
      <xdr:row>34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13</xdr:row>
      <xdr:rowOff>28576</xdr:rowOff>
    </xdr:from>
    <xdr:to>
      <xdr:col>9</xdr:col>
      <xdr:colOff>685800</xdr:colOff>
      <xdr:row>37</xdr:row>
      <xdr:rowOff>85726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0.95493</cdr:x>
      <cdr:y>0.37557</cdr:y>
    </cdr:from>
    <cdr:to>
      <cdr:x>1</cdr:x>
      <cdr:y>0.56901</cdr:y>
    </cdr:to>
    <cdr:sp macro="" textlink="">
      <cdr:nvSpPr>
        <cdr:cNvPr id="2" name="1 CuadroTexto"/>
        <cdr:cNvSpPr txBox="1"/>
      </cdr:nvSpPr>
      <cdr:spPr>
        <a:xfrm xmlns:a="http://schemas.openxmlformats.org/drawingml/2006/main" rot="16200000">
          <a:off x="6222188" y="1835954"/>
          <a:ext cx="814416" cy="304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es-MX" sz="1200" b="1">
              <a:solidFill>
                <a:srgbClr val="996600"/>
              </a:solidFill>
              <a:latin typeface="Presidencia Base" pitchFamily="50" charset="0"/>
            </a:rPr>
            <a:t>cobertura %</a:t>
          </a:r>
        </a:p>
      </cdr:txBody>
    </cdr:sp>
  </cdr:relSizeAnchor>
  <cdr:relSizeAnchor xmlns:cdr="http://schemas.openxmlformats.org/drawingml/2006/chartDrawing">
    <cdr:from>
      <cdr:x>0</cdr:x>
      <cdr:y>0.31561</cdr:y>
    </cdr:from>
    <cdr:to>
      <cdr:x>0.04507</cdr:x>
      <cdr:y>0.59841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442887" y="1771631"/>
          <a:ext cx="1190582" cy="304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MX" sz="1200" b="1">
              <a:solidFill>
                <a:srgbClr val="996600"/>
              </a:solidFill>
              <a:latin typeface="Presidencia Base" pitchFamily="50" charset="0"/>
            </a:rPr>
            <a:t>m</a:t>
          </a:r>
          <a:r>
            <a:rPr lang="es-MX" sz="1200" b="1" baseline="30000">
              <a:solidFill>
                <a:srgbClr val="996600"/>
              </a:solidFill>
              <a:latin typeface="Presidencia Base" pitchFamily="50" charset="0"/>
            </a:rPr>
            <a:t>3</a:t>
          </a:r>
          <a:r>
            <a:rPr lang="es-MX" sz="1200" b="1">
              <a:solidFill>
                <a:srgbClr val="996600"/>
              </a:solidFill>
              <a:latin typeface="Presidencia Base" pitchFamily="50" charset="0"/>
            </a:rPr>
            <a:t>/s</a:t>
          </a:r>
        </a:p>
      </cdr:txBody>
    </cdr:sp>
  </cdr:relSizeAnchor>
  <cdr:relSizeAnchor xmlns:cdr="http://schemas.openxmlformats.org/drawingml/2006/chartDrawing">
    <cdr:from>
      <cdr:x>0.06091</cdr:x>
      <cdr:y>0.82064</cdr:y>
    </cdr:from>
    <cdr:to>
      <cdr:x>0.11473</cdr:x>
      <cdr:y>0.86241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409575" y="3181350"/>
          <a:ext cx="361951" cy="1619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b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200" b="0">
              <a:solidFill>
                <a:schemeClr val="accent6">
                  <a:lumMod val="50000"/>
                </a:schemeClr>
              </a:solidFill>
              <a:latin typeface="Presidencia Firme" pitchFamily="50" charset="0"/>
            </a:rPr>
            <a:t>Año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37</xdr:row>
      <xdr:rowOff>57150</xdr:rowOff>
    </xdr:from>
    <xdr:to>
      <xdr:col>1</xdr:col>
      <xdr:colOff>314326</xdr:colOff>
      <xdr:row>39</xdr:row>
      <xdr:rowOff>0</xdr:rowOff>
    </xdr:to>
    <xdr:sp macro="" textlink="">
      <xdr:nvSpPr>
        <xdr:cNvPr id="2" name="1 Rectángulo"/>
        <xdr:cNvSpPr/>
      </xdr:nvSpPr>
      <xdr:spPr>
        <a:xfrm>
          <a:off x="142876" y="6924675"/>
          <a:ext cx="285750" cy="180975"/>
        </a:xfrm>
        <a:prstGeom prst="rect">
          <a:avLst/>
        </a:prstGeom>
        <a:solidFill>
          <a:srgbClr val="FFFF99"/>
        </a:solidFill>
        <a:ln>
          <a:solidFill>
            <a:srgbClr val="0066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MX" sz="1100">
            <a:ln>
              <a:noFill/>
            </a:ln>
          </a:endParaRPr>
        </a:p>
      </xdr:txBody>
    </xdr:sp>
    <xdr:clientData/>
  </xdr:twoCellAnchor>
  <xdr:twoCellAnchor>
    <xdr:from>
      <xdr:col>1</xdr:col>
      <xdr:colOff>314326</xdr:colOff>
      <xdr:row>37</xdr:row>
      <xdr:rowOff>57150</xdr:rowOff>
    </xdr:from>
    <xdr:to>
      <xdr:col>1</xdr:col>
      <xdr:colOff>600076</xdr:colOff>
      <xdr:row>39</xdr:row>
      <xdr:rowOff>0</xdr:rowOff>
    </xdr:to>
    <xdr:sp macro="" textlink="">
      <xdr:nvSpPr>
        <xdr:cNvPr id="3" name="2 Rectángulo"/>
        <xdr:cNvSpPr/>
      </xdr:nvSpPr>
      <xdr:spPr>
        <a:xfrm>
          <a:off x="428626" y="6924675"/>
          <a:ext cx="285750" cy="1809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2700">
          <a:solidFill>
            <a:srgbClr val="0066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s-MX" sz="1100">
            <a:ln>
              <a:noFill/>
            </a:ln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10</xdr:row>
      <xdr:rowOff>523875</xdr:rowOff>
    </xdr:from>
    <xdr:to>
      <xdr:col>4</xdr:col>
      <xdr:colOff>0</xdr:colOff>
      <xdr:row>32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4</xdr:row>
      <xdr:rowOff>0</xdr:rowOff>
    </xdr:from>
    <xdr:to>
      <xdr:col>14</xdr:col>
      <xdr:colOff>546101</xdr:colOff>
      <xdr:row>46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0.85221</cdr:x>
      <cdr:y>0.04471</cdr:y>
    </cdr:from>
    <cdr:to>
      <cdr:x>0.91504</cdr:x>
      <cdr:y>0.08644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172575" y="285750"/>
          <a:ext cx="6762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0.00994</cdr:x>
      <cdr:y>0.00824</cdr:y>
    </cdr:from>
    <cdr:to>
      <cdr:x>0.18077</cdr:x>
      <cdr:y>0.04439</cdr:y>
    </cdr:to>
    <cdr:sp macro="" textlink="">
      <cdr:nvSpPr>
        <cdr:cNvPr id="35" name="34 CuadroTexto"/>
        <cdr:cNvSpPr txBox="1"/>
      </cdr:nvSpPr>
      <cdr:spPr>
        <a:xfrm xmlns:a="http://schemas.openxmlformats.org/drawingml/2006/main">
          <a:off x="103705" y="67184"/>
          <a:ext cx="1782244" cy="2947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MX" sz="1200" b="0">
              <a:latin typeface="Presidencia Base" pitchFamily="50" charset="0"/>
            </a:rPr>
            <a:t>Entidad </a:t>
          </a:r>
          <a:r>
            <a:rPr lang="es-MX" sz="1400" b="0">
              <a:latin typeface="Presidencia Base" pitchFamily="50" charset="0"/>
            </a:rPr>
            <a:t>Federativa</a:t>
          </a:r>
          <a:endParaRPr lang="es-MX" sz="1200" b="0">
            <a:latin typeface="Presidencia Base" pitchFamily="50" charset="0"/>
          </a:endParaRPr>
        </a:p>
      </cdr:txBody>
    </cdr:sp>
  </cdr:relSizeAnchor>
  <cdr:relSizeAnchor xmlns:cdr="http://schemas.openxmlformats.org/drawingml/2006/chartDrawing">
    <cdr:from>
      <cdr:x>0.3697</cdr:x>
      <cdr:y>0.96429</cdr:y>
    </cdr:from>
    <cdr:to>
      <cdr:x>0.73375</cdr:x>
      <cdr:y>1</cdr:y>
    </cdr:to>
    <cdr:sp macro="" textlink="">
      <cdr:nvSpPr>
        <cdr:cNvPr id="36" name="35 CuadroTexto"/>
        <cdr:cNvSpPr txBox="1"/>
      </cdr:nvSpPr>
      <cdr:spPr>
        <a:xfrm xmlns:a="http://schemas.openxmlformats.org/drawingml/2006/main">
          <a:off x="3857096" y="7862242"/>
          <a:ext cx="3798152" cy="291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s-MX" sz="1400">
              <a:latin typeface="Presidencia Base" pitchFamily="50" charset="0"/>
            </a:rPr>
            <a:t>Pesos  por metro cúbico </a:t>
          </a:r>
        </a:p>
      </cdr:txBody>
    </cdr:sp>
  </cdr:relSizeAnchor>
  <cdr:relSizeAnchor xmlns:cdr="http://schemas.openxmlformats.org/drawingml/2006/chartDrawing">
    <cdr:from>
      <cdr:x>0.69835</cdr:x>
      <cdr:y>0.18692</cdr:y>
    </cdr:from>
    <cdr:to>
      <cdr:x>0.86797</cdr:x>
      <cdr:y>0.34579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7372350" y="1524000"/>
          <a:ext cx="17907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MX" sz="1200" b="0">
            <a:latin typeface="Presidencia Firme" pitchFamily="50" charset="0"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</xdr:row>
      <xdr:rowOff>85724</xdr:rowOff>
    </xdr:from>
    <xdr:to>
      <xdr:col>8</xdr:col>
      <xdr:colOff>685800</xdr:colOff>
      <xdr:row>54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0.01417</cdr:x>
      <cdr:y>0.00467</cdr:y>
    </cdr:from>
    <cdr:to>
      <cdr:x>0.23622</cdr:x>
      <cdr:y>0.02336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704" y="66634"/>
          <a:ext cx="1343045" cy="266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MX" sz="1400" b="0">
              <a:latin typeface="Presidencia Base" pitchFamily="50" charset="0"/>
            </a:rPr>
            <a:t>Entidad Federativa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27</xdr:row>
      <xdr:rowOff>57150</xdr:rowOff>
    </xdr:from>
    <xdr:to>
      <xdr:col>8</xdr:col>
      <xdr:colOff>781050</xdr:colOff>
      <xdr:row>53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0.75422</cdr:x>
      <cdr:y>0.84476</cdr:y>
    </cdr:from>
    <cdr:to>
      <cdr:x>0.96145</cdr:x>
      <cdr:y>0.90303</cdr:y>
    </cdr:to>
    <cdr:sp macro="" textlink="">
      <cdr:nvSpPr>
        <cdr:cNvPr id="2" name="2 CuadroTexto"/>
        <cdr:cNvSpPr txBox="1"/>
      </cdr:nvSpPr>
      <cdr:spPr>
        <a:xfrm xmlns:a="http://schemas.openxmlformats.org/drawingml/2006/main">
          <a:off x="5962642" y="3596732"/>
          <a:ext cx="1638308" cy="2480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r"/>
          <a:r>
            <a:rPr lang="es-MX" sz="1100" b="0">
              <a:solidFill>
                <a:sysClr val="windowText" lastClr="000000"/>
              </a:solidFill>
              <a:latin typeface="Presidencia Base" pitchFamily="50" charset="0"/>
              <a:ea typeface="+mn-ea"/>
              <a:cs typeface="+mn-cs"/>
            </a:rPr>
            <a:t>Entidad Federativa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0.01896</cdr:x>
      <cdr:y>0.06086</cdr:y>
    </cdr:from>
    <cdr:to>
      <cdr:x>0.03007</cdr:x>
      <cdr:y>0.10051</cdr:y>
    </cdr:to>
    <cdr:sp macro="" textlink="">
      <cdr:nvSpPr>
        <cdr:cNvPr id="430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913" y="279745"/>
          <a:ext cx="86113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0.00313</cdr:x>
      <cdr:y>0.02908</cdr:y>
    </cdr:from>
    <cdr:to>
      <cdr:x>0.99739</cdr:x>
      <cdr:y>0.09969</cdr:y>
    </cdr:to>
    <cdr:sp macro="" textlink="">
      <cdr:nvSpPr>
        <cdr:cNvPr id="4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50" y="114300"/>
          <a:ext cx="6057899" cy="277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45720" tIns="36576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MX" sz="1600" b="1" i="0" strike="noStrike">
              <a:solidFill>
                <a:srgbClr val="1F497D"/>
              </a:solidFill>
              <a:latin typeface="Presidencia Firme" pitchFamily="50" charset="0"/>
              <a:cs typeface="Arial"/>
            </a:rPr>
            <a:t>Total: 30</a:t>
          </a:r>
          <a:r>
            <a:rPr lang="es-MX" sz="1600" b="1" i="0" u="none" strike="noStrike" kern="1200" baseline="0">
              <a:solidFill>
                <a:srgbClr val="1F497D"/>
              </a:solidFill>
              <a:latin typeface="Presidencia Firme" pitchFamily="50" charset="0"/>
              <a:cs typeface="Arial"/>
            </a:rPr>
            <a:t> </a:t>
          </a:r>
          <a:r>
            <a:rPr lang="es-MX" sz="1600" b="1" i="0" u="none" strike="noStrike" kern="1200" baseline="0">
              <a:solidFill>
                <a:srgbClr val="1F497D"/>
              </a:solidFill>
              <a:latin typeface="Presidencia Firme" pitchFamily="50" charset="0"/>
              <a:ea typeface="Arial"/>
              <a:cs typeface="Arial"/>
            </a:rPr>
            <a:t>247.0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27</xdr:row>
      <xdr:rowOff>56029</xdr:rowOff>
    </xdr:from>
    <xdr:to>
      <xdr:col>8</xdr:col>
      <xdr:colOff>795617</xdr:colOff>
      <xdr:row>51</xdr:row>
      <xdr:rowOff>156884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0.14212</cdr:y>
    </cdr:from>
    <cdr:to>
      <cdr:x>0.04762</cdr:x>
      <cdr:y>0.49733</cdr:y>
    </cdr:to>
    <cdr:sp macro="" textlink="">
      <cdr:nvSpPr>
        <cdr:cNvPr id="2" name="1 CuadroTexto"/>
        <cdr:cNvSpPr txBox="1"/>
      </cdr:nvSpPr>
      <cdr:spPr>
        <a:xfrm xmlns:a="http://schemas.openxmlformats.org/drawingml/2006/main" rot="16200000">
          <a:off x="-732694" y="1473255"/>
          <a:ext cx="1850905" cy="385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r>
            <a:rPr lang="es-MX" sz="1200" b="0">
              <a:latin typeface="Presidencia Base" pitchFamily="50" charset="0"/>
            </a:rPr>
            <a:t>Millones  de pesos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</xdr:row>
      <xdr:rowOff>19051</xdr:rowOff>
    </xdr:from>
    <xdr:to>
      <xdr:col>8</xdr:col>
      <xdr:colOff>733425</xdr:colOff>
      <xdr:row>23</xdr:row>
      <xdr:rowOff>123825</xdr:rowOff>
    </xdr:to>
    <xdr:graphicFrame macro="">
      <xdr:nvGraphicFramePr>
        <xdr:cNvPr id="4292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0.01896</cdr:x>
      <cdr:y>0.06086</cdr:y>
    </cdr:from>
    <cdr:to>
      <cdr:x>0.03007</cdr:x>
      <cdr:y>0.10051</cdr:y>
    </cdr:to>
    <cdr:sp macro="" textlink="">
      <cdr:nvSpPr>
        <cdr:cNvPr id="430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913" y="279745"/>
          <a:ext cx="86113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0.00157</cdr:x>
      <cdr:y>0.03389</cdr:y>
    </cdr:from>
    <cdr:to>
      <cdr:x>1</cdr:x>
      <cdr:y>0.10478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25" y="132654"/>
          <a:ext cx="6057899" cy="277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MX" sz="1500" b="1" i="0" strike="noStrike">
              <a:solidFill>
                <a:schemeClr val="tx2"/>
              </a:solidFill>
              <a:latin typeface="Presidencia Firme" pitchFamily="50" charset="0"/>
              <a:cs typeface="Arial"/>
            </a:rPr>
            <a:t>Total: </a:t>
          </a:r>
          <a:r>
            <a:rPr lang="es-MX" sz="1500" b="1" i="0" u="none" strike="noStrike" kern="1200" baseline="0">
              <a:solidFill>
                <a:schemeClr val="tx2"/>
              </a:solidFill>
              <a:latin typeface="Presidencia Firme" pitchFamily="50" charset="0"/>
              <a:ea typeface="Arial"/>
              <a:cs typeface="Arial"/>
            </a:rPr>
            <a:t>22 </a:t>
          </a:r>
          <a:r>
            <a:rPr lang="es-MX" sz="1600" b="1" i="0" u="none" strike="noStrike" kern="1200" baseline="0">
              <a:solidFill>
                <a:schemeClr val="tx2"/>
              </a:solidFill>
              <a:latin typeface="Presidencia Firme" pitchFamily="50" charset="0"/>
              <a:ea typeface="Arial"/>
              <a:cs typeface="Arial"/>
            </a:rPr>
            <a:t>572.7</a:t>
          </a:r>
          <a:endParaRPr lang="es-MX" sz="1500" b="1" i="0" u="none" strike="noStrike" kern="1200" baseline="0">
            <a:solidFill>
              <a:schemeClr val="tx2"/>
            </a:solidFill>
            <a:latin typeface="Presidencia Firme" pitchFamily="50" charset="0"/>
            <a:ea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24342</xdr:colOff>
      <xdr:row>1</xdr:row>
      <xdr:rowOff>21166</xdr:rowOff>
    </xdr:from>
    <xdr:to>
      <xdr:col>14</xdr:col>
      <xdr:colOff>21167</xdr:colOff>
      <xdr:row>34</xdr:row>
      <xdr:rowOff>71965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0.046</cdr:x>
      <cdr:y>0.81271</cdr:y>
    </cdr:from>
    <cdr:to>
      <cdr:x>0.10704</cdr:x>
      <cdr:y>0.90017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30741" y="4169834"/>
          <a:ext cx="571500" cy="448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MX" sz="1200" b="0">
              <a:latin typeface="Presidencia Firme" pitchFamily="50" charset="0"/>
            </a:rPr>
            <a:t>Año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</xdr:row>
      <xdr:rowOff>57150</xdr:rowOff>
    </xdr:from>
    <xdr:to>
      <xdr:col>7</xdr:col>
      <xdr:colOff>304801</xdr:colOff>
      <xdr:row>35</xdr:row>
      <xdr:rowOff>228600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ANTEPROY-1999\TRABAJO\EXCEL\OAI\DEFINITI\C-EX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0006w059\2005\jvv\inversiones\Mis%20documentos\ANTEPROY-1999\TRABAJO\EXCEL\OAI\DEFINITI\C-EX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ires/AppData/Roaming/Microsoft/Excel/judith/dsapas/2010/Tablas%20graficas%20DSAPAS%202009%20-%20cop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I/CI/DSAPAS/Edicion%202010/inversiones/INVERSIONES%202010%20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judith/dsapas/2010/JVVBUENA_Tablas%20DSAPAS%20200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&#225;fico%20en%20INF-DESINF-2007%20y%20META%202008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vasquez/AppData/Local/Microsoft/Windows/Temporary%20Internet%20Files/Content.Outlook/82MXA8DA/DESSAPAS%20TARIFAS-20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g 1.1"/>
      <sheetName val="1.1d"/>
      <sheetName val="1.2"/>
      <sheetName val="1.3"/>
      <sheetName val="1.4"/>
      <sheetName val="1.5"/>
      <sheetName val="1.6"/>
      <sheetName val="t1.6"/>
      <sheetName val="g 1.2"/>
      <sheetName val="1.7"/>
      <sheetName val="1.7 (2)"/>
      <sheetName val="1.8"/>
      <sheetName val="g 1.3 (2)"/>
      <sheetName val="g 1.3"/>
      <sheetName val="g1.4"/>
      <sheetName val="1.9"/>
      <sheetName val="1.10"/>
      <sheetName val="1.11"/>
      <sheetName val="1.12"/>
      <sheetName val="g 1.6.revisar"/>
      <sheetName val="g 1.6 borrar"/>
      <sheetName val="1.5d"/>
      <sheetName val="2.1"/>
      <sheetName val="g2.1"/>
      <sheetName val="dg2.1"/>
      <sheetName val="2.2"/>
      <sheetName val="2.3"/>
      <sheetName val="2.4"/>
      <sheetName val="g2.2"/>
      <sheetName val="g2.9"/>
      <sheetName val="2.6 inegi"/>
      <sheetName val="g2.5 "/>
      <sheetName val="2.5"/>
      <sheetName val="g2.3"/>
      <sheetName val="2.6"/>
      <sheetName val="2.7"/>
      <sheetName val="g2.4"/>
      <sheetName val="2.8"/>
      <sheetName val="2.NN"/>
      <sheetName val="3.1"/>
      <sheetName val="3.2"/>
      <sheetName val="3.3"/>
      <sheetName val="3.4"/>
      <sheetName val="3.5"/>
      <sheetName val="datos3.5"/>
      <sheetName val="g3.1"/>
      <sheetName val="3.6"/>
      <sheetName val="3.7"/>
      <sheetName val="g3.2"/>
      <sheetName val="3.8"/>
      <sheetName val="3.9"/>
      <sheetName val="3.10"/>
      <sheetName val="3.11"/>
      <sheetName val="3.11.1"/>
      <sheetName val="g3.11.1"/>
      <sheetName val="3.12"/>
      <sheetName val="3.13"/>
      <sheetName val="g3.13"/>
      <sheetName val="3.13b"/>
      <sheetName val="g3.10"/>
      <sheetName val="3.13 (m3 por s)"/>
      <sheetName val="4.1 NO"/>
      <sheetName val="4.2 no incluida"/>
      <sheetName val="4.1 SI"/>
      <sheetName val="4.2"/>
      <sheetName val="4.3"/>
      <sheetName val="TARIFAS"/>
      <sheetName val="g 4.1 TARIFAS"/>
      <sheetName val="g PAS"/>
      <sheetName val="g PAS (2)"/>
      <sheetName val="PAS Registrados"/>
      <sheetName val="5.1"/>
      <sheetName val="5.2"/>
      <sheetName val="g 5.1"/>
      <sheetName val="g 5.2"/>
      <sheetName val="5.4"/>
      <sheetName val="5.5"/>
      <sheetName val="5.6"/>
      <sheetName val="5.7"/>
      <sheetName val="Informe de compatibilidad"/>
    </sheetNames>
    <sheetDataSet>
      <sheetData sheetId="0">
        <row r="19">
          <cell r="C19">
            <v>2293</v>
          </cell>
          <cell r="D19">
            <v>1146</v>
          </cell>
          <cell r="E19">
            <v>695</v>
          </cell>
          <cell r="F19">
            <v>6285</v>
          </cell>
        </row>
        <row r="21">
          <cell r="C21">
            <v>4237.6822999400001</v>
          </cell>
          <cell r="D21">
            <v>2147.5491737686311</v>
          </cell>
          <cell r="E21">
            <v>1926.7617790868337</v>
          </cell>
          <cell r="F21">
            <v>4121.4896577</v>
          </cell>
        </row>
        <row r="23">
          <cell r="C23">
            <v>4071.4475795640005</v>
          </cell>
          <cell r="D23">
            <v>3035.4075303776663</v>
          </cell>
          <cell r="E23">
            <v>1386.462534168094</v>
          </cell>
          <cell r="F23">
            <v>4996.0458591836723</v>
          </cell>
        </row>
        <row r="25">
          <cell r="C25">
            <v>7085.2770266450079</v>
          </cell>
          <cell r="D25">
            <v>4988.4086592830499</v>
          </cell>
          <cell r="E25">
            <v>2917.7999596649224</v>
          </cell>
          <cell r="F25">
            <v>6615.8627616949598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 t="str">
            <v xml:space="preserve">AGUA POTABLE Y SANEAMIENTO EN ZONAS URBANAS 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7">
          <cell r="B7">
            <v>1990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V comp"/>
      <sheetName val="INV fuente"/>
      <sheetName val="ZU"/>
      <sheetName val="ZR"/>
      <sheetName val="COB AP envio"/>
      <sheetName val="COB ALC envio"/>
      <sheetName val="COB AP"/>
      <sheetName val="COB ALC"/>
      <sheetName val="hab ben hist"/>
      <sheetName val="hab ben"/>
      <sheetName val="RESUMEN SGIHU"/>
      <sheetName val="res cob"/>
      <sheetName val="POR PROGRAMA"/>
      <sheetName val="$ AP"/>
      <sheetName val="$ ALC"/>
      <sheetName val="$ SAN"/>
      <sheetName val="$ ME"/>
      <sheetName val="$ OT"/>
      <sheetName val="$ PROG"/>
      <sheetName val="$ PROGT"/>
      <sheetName val="AGUA LIMPIA"/>
      <sheetName val="BANOBRAS"/>
      <sheetName val="CONAVI"/>
      <sheetName val="PRODDER"/>
      <sheetName val="APAZU"/>
      <sheetName val="PROSSAPYS"/>
      <sheetName val="CDI"/>
      <sheetName val="SEDESOL HABITAT "/>
      <sheetName val="SEDESOL MR"/>
      <sheetName val="VM"/>
      <sheetName val="costos infraestructura"/>
      <sheetName val="OTROS"/>
      <sheetName val="%"/>
      <sheetName val="inpc"/>
    </sheetNames>
    <sheetDataSet>
      <sheetData sheetId="0">
        <row r="8">
          <cell r="D8">
            <v>6645677.7173354104</v>
          </cell>
        </row>
      </sheetData>
      <sheetData sheetId="1">
        <row r="8">
          <cell r="D8">
            <v>12763735.986510001</v>
          </cell>
          <cell r="E8">
            <v>5054950.9058845211</v>
          </cell>
          <cell r="F8">
            <v>2947969.2713049999</v>
          </cell>
          <cell r="G8">
            <v>1806001.9639700002</v>
          </cell>
        </row>
      </sheetData>
      <sheetData sheetId="2">
        <row r="11">
          <cell r="M11">
            <v>302481211.06114209</v>
          </cell>
        </row>
      </sheetData>
      <sheetData sheetId="3">
        <row r="11">
          <cell r="F11">
            <v>26361984.149999999</v>
          </cell>
        </row>
      </sheetData>
      <sheetData sheetId="4"/>
      <sheetData sheetId="5"/>
      <sheetData sheetId="6">
        <row r="10">
          <cell r="BM10">
            <v>79684191.713695064</v>
          </cell>
        </row>
      </sheetData>
      <sheetData sheetId="7">
        <row r="10">
          <cell r="AJ10">
            <v>106992488.31413014</v>
          </cell>
        </row>
      </sheetData>
      <sheetData sheetId="8"/>
      <sheetData sheetId="9"/>
      <sheetData sheetId="10"/>
      <sheetData sheetId="11"/>
      <sheetData sheetId="12">
        <row r="11">
          <cell r="R11">
            <v>140638964.16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B11">
            <v>30590204</v>
          </cell>
        </row>
      </sheetData>
      <sheetData sheetId="24">
        <row r="11">
          <cell r="B11">
            <v>81000000.019999996</v>
          </cell>
        </row>
      </sheetData>
      <sheetData sheetId="25">
        <row r="11">
          <cell r="B11">
            <v>19374330.829999998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g 1.1 (2)"/>
      <sheetName val="1.1d"/>
      <sheetName val="1.2"/>
      <sheetName val="1.3"/>
      <sheetName val="1.4"/>
      <sheetName val="1.5"/>
      <sheetName val="1.6"/>
      <sheetName val="1.7"/>
      <sheetName val="1.7 (2)"/>
      <sheetName val="1.8"/>
      <sheetName val="g 1.2"/>
      <sheetName val="g1.3"/>
      <sheetName val="1.9"/>
      <sheetName val="1.10"/>
      <sheetName val="1.11"/>
      <sheetName val="1.12"/>
      <sheetName val="2.1.v"/>
      <sheetName val="2.1"/>
      <sheetName val="g2.1"/>
      <sheetName val="2.2"/>
      <sheetName val="2.3"/>
      <sheetName val="g2.2v"/>
      <sheetName val="2.4"/>
      <sheetName val="g2.2"/>
      <sheetName val="2.5"/>
      <sheetName val="2.6"/>
      <sheetName val="g2.4"/>
      <sheetName val="2.8"/>
      <sheetName val="2.7-2.8 g2.3-g2.4"/>
      <sheetName val="2.NN"/>
      <sheetName val="PNH"/>
      <sheetName val="metamilc"/>
      <sheetName val="g2.5-g2.6"/>
      <sheetName val="3.1"/>
      <sheetName val="3.2"/>
      <sheetName val="3.3"/>
      <sheetName val="3.4"/>
      <sheetName val="3.4 (2)"/>
      <sheetName val="3.5"/>
      <sheetName val="g3.1"/>
      <sheetName val="3.6"/>
      <sheetName val="3.7"/>
      <sheetName val="3.8"/>
      <sheetName val="datos3.5"/>
      <sheetName val=" g3.2"/>
      <sheetName val="g3.2"/>
      <sheetName val="3.9"/>
      <sheetName val="3.10"/>
      <sheetName val="3.11"/>
      <sheetName val="3.12"/>
      <sheetName val="3.13"/>
      <sheetName val="3.13borrar"/>
      <sheetName val="g3.3"/>
      <sheetName val="3.14"/>
      <sheetName val="g3.4"/>
      <sheetName val="3.11.1"/>
      <sheetName val="g3.11.1"/>
      <sheetName val="g3.10"/>
      <sheetName val="3.13 (m3 por s)"/>
      <sheetName val="4.1"/>
      <sheetName val="g 4.1"/>
      <sheetName val="g 4.2"/>
      <sheetName val="Dom"/>
      <sheetName val="4.3"/>
      <sheetName val="4.4"/>
      <sheetName val="06-07"/>
      <sheetName val="4.2 no incluida"/>
      <sheetName val="g4.1"/>
      <sheetName val="g4.2 "/>
      <sheetName val="5.1"/>
      <sheetName val="5.2"/>
      <sheetName val="5.3"/>
      <sheetName val="5.4"/>
      <sheetName val="5.5"/>
      <sheetName val="5.6"/>
      <sheetName val="g 5.1"/>
      <sheetName val="g 5.2"/>
      <sheetName val="5.8"/>
      <sheetName val="Hoja5"/>
      <sheetName val="cuadro 4.1"/>
      <sheetName val="07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8">
          <cell r="B8" t="str">
            <v>Aguascalientes</v>
          </cell>
          <cell r="C8">
            <v>3931.7</v>
          </cell>
          <cell r="D8">
            <v>3721.39</v>
          </cell>
          <cell r="E8">
            <v>94.650914362743848</v>
          </cell>
        </row>
        <row r="9">
          <cell r="B9" t="str">
            <v>Baja California</v>
          </cell>
          <cell r="C9">
            <v>8931.18</v>
          </cell>
          <cell r="D9">
            <v>8858.57</v>
          </cell>
          <cell r="E9">
            <v>99.18700552446596</v>
          </cell>
        </row>
        <row r="10">
          <cell r="B10" t="str">
            <v>Baja California Sur</v>
          </cell>
          <cell r="C10">
            <v>2800.12</v>
          </cell>
          <cell r="D10">
            <v>2765.19</v>
          </cell>
          <cell r="E10">
            <v>98.752553461994495</v>
          </cell>
        </row>
        <row r="11">
          <cell r="B11" t="str">
            <v>Campeche</v>
          </cell>
          <cell r="C11">
            <v>2916.56</v>
          </cell>
          <cell r="D11">
            <v>2913.71</v>
          </cell>
          <cell r="E11">
            <v>99.902282140604001</v>
          </cell>
        </row>
        <row r="12">
          <cell r="B12" t="str">
            <v>Chiapas</v>
          </cell>
          <cell r="C12">
            <v>5260</v>
          </cell>
          <cell r="D12">
            <v>4730</v>
          </cell>
          <cell r="E12">
            <v>89.923954372623569</v>
          </cell>
        </row>
        <row r="13">
          <cell r="B13" t="str">
            <v>Chihuahua</v>
          </cell>
          <cell r="C13">
            <v>13215</v>
          </cell>
          <cell r="D13">
            <v>13215</v>
          </cell>
          <cell r="E13">
            <v>100</v>
          </cell>
        </row>
        <row r="14">
          <cell r="B14" t="str">
            <v>Coahuila de Zaragoza</v>
          </cell>
          <cell r="C14">
            <v>11155.64</v>
          </cell>
          <cell r="D14">
            <v>10356.85</v>
          </cell>
          <cell r="E14">
            <v>92.839586074846466</v>
          </cell>
        </row>
        <row r="15">
          <cell r="B15" t="str">
            <v>Colima</v>
          </cell>
          <cell r="C15">
            <v>3651.88</v>
          </cell>
          <cell r="D15">
            <v>3647.88</v>
          </cell>
          <cell r="E15">
            <v>99.890467375707857</v>
          </cell>
        </row>
        <row r="16">
          <cell r="B16" t="str">
            <v>Distrito Federal</v>
          </cell>
          <cell r="C16">
            <v>33463.120000000003</v>
          </cell>
          <cell r="D16">
            <v>32269.1</v>
          </cell>
          <cell r="E16">
            <v>96.431833014972895</v>
          </cell>
        </row>
        <row r="17">
          <cell r="B17" t="str">
            <v>Durango</v>
          </cell>
          <cell r="C17">
            <v>7588.36</v>
          </cell>
          <cell r="D17">
            <v>7178.9</v>
          </cell>
          <cell r="E17">
            <v>94.604104180613461</v>
          </cell>
        </row>
        <row r="18">
          <cell r="B18" t="str">
            <v>Guanajuato</v>
          </cell>
          <cell r="C18">
            <v>13689</v>
          </cell>
          <cell r="D18">
            <v>12709.51</v>
          </cell>
          <cell r="E18">
            <v>92.844692819051801</v>
          </cell>
        </row>
        <row r="19">
          <cell r="B19" t="str">
            <v>Guerrero</v>
          </cell>
          <cell r="C19">
            <v>7617.34</v>
          </cell>
          <cell r="D19">
            <v>6700.66</v>
          </cell>
          <cell r="E19">
            <v>87.965877852373666</v>
          </cell>
        </row>
        <row r="20">
          <cell r="B20" t="str">
            <v>Hidalgo</v>
          </cell>
          <cell r="C20">
            <v>4303.9799999999996</v>
          </cell>
          <cell r="D20">
            <v>4099.54</v>
          </cell>
          <cell r="E20">
            <v>95.249977927406732</v>
          </cell>
        </row>
        <row r="21">
          <cell r="B21" t="str">
            <v>Jalisco</v>
          </cell>
          <cell r="C21">
            <v>20838.490000000002</v>
          </cell>
          <cell r="D21">
            <v>20296.060000000001</v>
          </cell>
          <cell r="E21">
            <v>97.396980299436279</v>
          </cell>
        </row>
        <row r="22">
          <cell r="B22" t="str">
            <v>México</v>
          </cell>
          <cell r="C22">
            <v>37428</v>
          </cell>
          <cell r="D22">
            <v>37179</v>
          </cell>
          <cell r="E22">
            <v>99.334722667521646</v>
          </cell>
        </row>
        <row r="23">
          <cell r="B23" t="str">
            <v>Michoacán de Ocampo</v>
          </cell>
          <cell r="C23">
            <v>14680.97</v>
          </cell>
          <cell r="D23">
            <v>13444.24</v>
          </cell>
          <cell r="E23">
            <v>91.575965348338713</v>
          </cell>
        </row>
        <row r="24">
          <cell r="B24" t="str">
            <v>Morelos</v>
          </cell>
          <cell r="C24">
            <v>9941.2000000000007</v>
          </cell>
          <cell r="D24">
            <v>9643.11</v>
          </cell>
          <cell r="E24">
            <v>97.001468635577197</v>
          </cell>
        </row>
        <row r="25">
          <cell r="B25" t="str">
            <v>Nayarit</v>
          </cell>
          <cell r="C25">
            <v>3123.29</v>
          </cell>
          <cell r="D25">
            <v>3098.06</v>
          </cell>
          <cell r="E25">
            <v>99.19219797072958</v>
          </cell>
        </row>
        <row r="26">
          <cell r="B26" t="str">
            <v>Nuevo León</v>
          </cell>
          <cell r="C26">
            <v>12289.31</v>
          </cell>
          <cell r="D26">
            <v>12024.91</v>
          </cell>
          <cell r="E26">
            <v>97.848536655027829</v>
          </cell>
        </row>
        <row r="27">
          <cell r="B27" t="str">
            <v>Oaxaca</v>
          </cell>
          <cell r="C27">
            <v>4893</v>
          </cell>
          <cell r="D27">
            <v>4624</v>
          </cell>
          <cell r="E27">
            <v>94.502350296341703</v>
          </cell>
        </row>
        <row r="28">
          <cell r="B28" t="str">
            <v>Puebla</v>
          </cell>
          <cell r="C28">
            <v>9817.9500000000007</v>
          </cell>
          <cell r="D28">
            <v>9619.7900000000009</v>
          </cell>
          <cell r="E28">
            <v>97.981656048360406</v>
          </cell>
        </row>
        <row r="29">
          <cell r="B29" t="str">
            <v>Querétaro de Arteaga</v>
          </cell>
          <cell r="C29">
            <v>5049.21</v>
          </cell>
          <cell r="D29">
            <v>4937.13</v>
          </cell>
          <cell r="E29">
            <v>97.780246810887249</v>
          </cell>
        </row>
        <row r="30">
          <cell r="B30" t="str">
            <v>Quintana Roo</v>
          </cell>
          <cell r="C30">
            <v>3907.26</v>
          </cell>
          <cell r="D30">
            <v>3831.47</v>
          </cell>
          <cell r="E30">
            <v>98.060277534640633</v>
          </cell>
        </row>
        <row r="31">
          <cell r="B31" t="str">
            <v>San Luis Potosí</v>
          </cell>
          <cell r="C31">
            <v>5458.76</v>
          </cell>
          <cell r="D31">
            <v>5052.33</v>
          </cell>
          <cell r="E31">
            <v>92.554536195033293</v>
          </cell>
        </row>
        <row r="32">
          <cell r="B32" t="str">
            <v>Sinaloa</v>
          </cell>
          <cell r="C32">
            <v>10135.379999999999</v>
          </cell>
          <cell r="D32">
            <v>9914.3799999999992</v>
          </cell>
          <cell r="E32">
            <v>97.819519347079236</v>
          </cell>
        </row>
        <row r="33">
          <cell r="B33" t="str">
            <v xml:space="preserve">Sonora </v>
          </cell>
          <cell r="C33">
            <v>12955.9</v>
          </cell>
          <cell r="D33">
            <v>12588.7</v>
          </cell>
          <cell r="E33">
            <v>97.165770035273511</v>
          </cell>
        </row>
        <row r="34">
          <cell r="B34" t="str">
            <v>Tabasco</v>
          </cell>
          <cell r="C34">
            <v>10421</v>
          </cell>
          <cell r="D34">
            <v>10421</v>
          </cell>
          <cell r="E34">
            <v>100</v>
          </cell>
        </row>
        <row r="35">
          <cell r="B35" t="str">
            <v>Tamaulipas</v>
          </cell>
          <cell r="C35">
            <v>11700.24</v>
          </cell>
          <cell r="D35">
            <v>11530.42</v>
          </cell>
          <cell r="E35">
            <v>98.548576781330993</v>
          </cell>
        </row>
        <row r="36">
          <cell r="B36" t="str">
            <v>Tlaxcala</v>
          </cell>
          <cell r="C36">
            <v>2340.6</v>
          </cell>
          <cell r="D36">
            <v>2314.31</v>
          </cell>
          <cell r="E36">
            <v>98.876783730667356</v>
          </cell>
        </row>
        <row r="37">
          <cell r="B37" t="str">
            <v>Veracruz de Ignacio de la Llave</v>
          </cell>
          <cell r="C37">
            <v>21795.32</v>
          </cell>
          <cell r="D37">
            <v>21348.15</v>
          </cell>
          <cell r="E37">
            <v>97.948321015704295</v>
          </cell>
        </row>
        <row r="38">
          <cell r="B38" t="str">
            <v>Yucatán</v>
          </cell>
          <cell r="C38">
            <v>6593.24</v>
          </cell>
          <cell r="D38">
            <v>6118.74</v>
          </cell>
          <cell r="E38">
            <v>92.803234828399994</v>
          </cell>
        </row>
        <row r="39">
          <cell r="B39" t="str">
            <v>Zacatecas</v>
          </cell>
          <cell r="C39">
            <v>6349.74</v>
          </cell>
          <cell r="D39">
            <v>6242.64</v>
          </cell>
          <cell r="E39">
            <v>98.313316765725844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>
        <row r="3">
          <cell r="C3" t="str">
            <v>SUMINISTRADO</v>
          </cell>
          <cell r="D3" t="str">
            <v>CLORADO</v>
          </cell>
          <cell r="E3" t="str">
            <v>COBERTURA</v>
          </cell>
        </row>
        <row r="4">
          <cell r="B4" t="str">
            <v>Chihuahua</v>
          </cell>
          <cell r="C4">
            <v>13.215</v>
          </cell>
          <cell r="D4">
            <v>13.215</v>
          </cell>
          <cell r="E4">
            <v>100</v>
          </cell>
        </row>
        <row r="5">
          <cell r="B5" t="str">
            <v>Tabasco</v>
          </cell>
          <cell r="C5">
            <v>10.420999999999999</v>
          </cell>
          <cell r="D5">
            <v>10.420999999999999</v>
          </cell>
          <cell r="E5">
            <v>100</v>
          </cell>
        </row>
        <row r="6">
          <cell r="B6" t="str">
            <v>Campeche</v>
          </cell>
          <cell r="C6">
            <v>2.91656</v>
          </cell>
          <cell r="D6">
            <v>2.91371</v>
          </cell>
          <cell r="E6">
            <v>99.902282140604001</v>
          </cell>
        </row>
        <row r="7">
          <cell r="B7" t="str">
            <v>Colima</v>
          </cell>
          <cell r="C7">
            <v>3.6518800000000002</v>
          </cell>
          <cell r="D7">
            <v>3.6478800000000002</v>
          </cell>
          <cell r="E7">
            <v>99.890467375707857</v>
          </cell>
        </row>
        <row r="8">
          <cell r="B8" t="str">
            <v>México</v>
          </cell>
          <cell r="C8">
            <v>37.427999999999997</v>
          </cell>
          <cell r="D8">
            <v>37.179000000000002</v>
          </cell>
          <cell r="E8">
            <v>99.334722667521646</v>
          </cell>
        </row>
        <row r="9">
          <cell r="B9" t="str">
            <v>Nayarit</v>
          </cell>
          <cell r="C9">
            <v>3.1232899999999999</v>
          </cell>
          <cell r="D9">
            <v>3.0980599999999998</v>
          </cell>
          <cell r="E9">
            <v>99.19219797072958</v>
          </cell>
        </row>
        <row r="10">
          <cell r="B10" t="str">
            <v>Baja California</v>
          </cell>
          <cell r="C10">
            <v>8.9311799999999995</v>
          </cell>
          <cell r="D10">
            <v>8.8585700000000003</v>
          </cell>
          <cell r="E10">
            <v>99.18700552446596</v>
          </cell>
        </row>
        <row r="11">
          <cell r="B11" t="str">
            <v>Tlaxcala</v>
          </cell>
          <cell r="C11">
            <v>2.3405999999999998</v>
          </cell>
          <cell r="D11">
            <v>2.3143099999999999</v>
          </cell>
          <cell r="E11">
            <v>98.876783730667356</v>
          </cell>
        </row>
        <row r="12">
          <cell r="B12" t="str">
            <v>Baja California Sur</v>
          </cell>
          <cell r="C12">
            <v>2.8001199999999997</v>
          </cell>
          <cell r="D12">
            <v>2.76519</v>
          </cell>
          <cell r="E12">
            <v>98.752553461994495</v>
          </cell>
        </row>
        <row r="13">
          <cell r="B13" t="str">
            <v>Tamaulipas</v>
          </cell>
          <cell r="C13">
            <v>11.700239999999999</v>
          </cell>
          <cell r="D13">
            <v>11.530419999999999</v>
          </cell>
          <cell r="E13">
            <v>98.548576781330993</v>
          </cell>
        </row>
        <row r="14">
          <cell r="B14" t="str">
            <v>Zacatecas</v>
          </cell>
          <cell r="C14">
            <v>6.3497399999999997</v>
          </cell>
          <cell r="D14">
            <v>6.2426400000000006</v>
          </cell>
          <cell r="E14">
            <v>98.313316765725844</v>
          </cell>
        </row>
        <row r="15">
          <cell r="B15" t="str">
            <v>Quintana Roo</v>
          </cell>
          <cell r="C15">
            <v>3.9072600000000004</v>
          </cell>
          <cell r="D15">
            <v>3.8314699999999999</v>
          </cell>
          <cell r="E15">
            <v>98.060277534640633</v>
          </cell>
        </row>
        <row r="16">
          <cell r="B16" t="str">
            <v>Puebla</v>
          </cell>
          <cell r="C16">
            <v>9.8179500000000015</v>
          </cell>
          <cell r="D16">
            <v>9.6197900000000001</v>
          </cell>
          <cell r="E16">
            <v>97.981656048360406</v>
          </cell>
        </row>
        <row r="17">
          <cell r="B17" t="str">
            <v>Veracruz de Ignacio de la Llave</v>
          </cell>
          <cell r="C17">
            <v>21.79532</v>
          </cell>
          <cell r="D17">
            <v>21.34815</v>
          </cell>
          <cell r="E17">
            <v>97.948321015704295</v>
          </cell>
        </row>
        <row r="18">
          <cell r="B18" t="str">
            <v>Nuevo León</v>
          </cell>
          <cell r="C18">
            <v>12.289309999999999</v>
          </cell>
          <cell r="D18">
            <v>12.02491</v>
          </cell>
          <cell r="E18">
            <v>97.848536655027829</v>
          </cell>
        </row>
        <row r="19">
          <cell r="B19" t="str">
            <v>Sinaloa</v>
          </cell>
          <cell r="C19">
            <v>10.13538</v>
          </cell>
          <cell r="D19">
            <v>9.9143799999999995</v>
          </cell>
          <cell r="E19">
            <v>97.819519347079236</v>
          </cell>
        </row>
        <row r="20">
          <cell r="B20" t="str">
            <v>Querétaro de Arteaga</v>
          </cell>
          <cell r="C20">
            <v>5.0492100000000004</v>
          </cell>
          <cell r="D20">
            <v>4.9371299999999998</v>
          </cell>
          <cell r="E20">
            <v>97.780246810887249</v>
          </cell>
        </row>
        <row r="21">
          <cell r="B21" t="str">
            <v>Jalisco</v>
          </cell>
          <cell r="C21">
            <v>20.83849</v>
          </cell>
          <cell r="D21">
            <v>20.296060000000001</v>
          </cell>
          <cell r="E21">
            <v>97.396980299436279</v>
          </cell>
        </row>
        <row r="22">
          <cell r="B22" t="str">
            <v xml:space="preserve">Sonora </v>
          </cell>
          <cell r="C22">
            <v>12.9559</v>
          </cell>
          <cell r="D22">
            <v>12.588700000000001</v>
          </cell>
          <cell r="E22">
            <v>97.165770035273511</v>
          </cell>
        </row>
        <row r="23">
          <cell r="B23" t="str">
            <v>Morelos</v>
          </cell>
          <cell r="C23">
            <v>9.9412000000000003</v>
          </cell>
          <cell r="D23">
            <v>9.6431100000000001</v>
          </cell>
          <cell r="E23">
            <v>97.001468635577197</v>
          </cell>
        </row>
        <row r="24">
          <cell r="B24" t="str">
            <v>Distrito Federal</v>
          </cell>
          <cell r="C24">
            <v>33.463120000000004</v>
          </cell>
          <cell r="D24">
            <v>32.269100000000002</v>
          </cell>
          <cell r="E24">
            <v>96.431833014972895</v>
          </cell>
        </row>
        <row r="25">
          <cell r="B25" t="str">
            <v>Hidalgo</v>
          </cell>
          <cell r="C25">
            <v>4.3039799999999993</v>
          </cell>
          <cell r="D25">
            <v>4.0995400000000002</v>
          </cell>
          <cell r="E25">
            <v>95.249977927406732</v>
          </cell>
        </row>
        <row r="26">
          <cell r="B26" t="str">
            <v>Aguascalientes</v>
          </cell>
          <cell r="C26">
            <v>3.9316999999999998</v>
          </cell>
          <cell r="D26">
            <v>3.72139</v>
          </cell>
          <cell r="E26">
            <v>94.650914362743848</v>
          </cell>
        </row>
        <row r="27">
          <cell r="B27" t="str">
            <v>Durango</v>
          </cell>
          <cell r="C27">
            <v>7.5883599999999998</v>
          </cell>
          <cell r="D27">
            <v>7.1788999999999996</v>
          </cell>
          <cell r="E27">
            <v>94.604104180613461</v>
          </cell>
        </row>
        <row r="28">
          <cell r="B28" t="str">
            <v>Oaxaca</v>
          </cell>
          <cell r="C28">
            <v>4.8929999999999998</v>
          </cell>
          <cell r="D28">
            <v>4.6239999999999997</v>
          </cell>
          <cell r="E28">
            <v>94.502350296341703</v>
          </cell>
        </row>
        <row r="29">
          <cell r="B29" t="str">
            <v>Guanajuato</v>
          </cell>
          <cell r="C29">
            <v>13.689</v>
          </cell>
          <cell r="D29">
            <v>12.70951</v>
          </cell>
          <cell r="E29">
            <v>92.844692819051801</v>
          </cell>
        </row>
        <row r="30">
          <cell r="B30" t="str">
            <v>Coahuila de Zaragoza</v>
          </cell>
          <cell r="C30">
            <v>11.15564</v>
          </cell>
          <cell r="D30">
            <v>10.35685</v>
          </cell>
          <cell r="E30">
            <v>92.839586074846466</v>
          </cell>
        </row>
        <row r="31">
          <cell r="B31" t="str">
            <v>Yucatán</v>
          </cell>
          <cell r="C31">
            <v>6.5932399999999998</v>
          </cell>
          <cell r="D31">
            <v>6.1187399999999998</v>
          </cell>
          <cell r="E31">
            <v>92.803234828399994</v>
          </cell>
        </row>
        <row r="32">
          <cell r="B32" t="str">
            <v>San Luis Potosí</v>
          </cell>
          <cell r="C32">
            <v>5.4587599999999998</v>
          </cell>
          <cell r="D32">
            <v>5.0523299999999995</v>
          </cell>
          <cell r="E32">
            <v>92.554536195033293</v>
          </cell>
        </row>
        <row r="33">
          <cell r="B33" t="str">
            <v>Michoacán de Ocampo</v>
          </cell>
          <cell r="C33">
            <v>14.680969999999999</v>
          </cell>
          <cell r="D33">
            <v>13.444240000000001</v>
          </cell>
          <cell r="E33">
            <v>91.575965348338713</v>
          </cell>
        </row>
        <row r="34">
          <cell r="B34" t="str">
            <v>Chiapas</v>
          </cell>
          <cell r="C34">
            <v>5.26</v>
          </cell>
          <cell r="D34">
            <v>4.7300000000000004</v>
          </cell>
          <cell r="E34">
            <v>89.923954372623569</v>
          </cell>
        </row>
        <row r="35">
          <cell r="B35" t="str">
            <v>Guerrero</v>
          </cell>
          <cell r="C35">
            <v>7.6173400000000004</v>
          </cell>
          <cell r="D35">
            <v>6.7006600000000001</v>
          </cell>
          <cell r="E35">
            <v>87.965877852373666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áfico5"/>
      <sheetName val="COFEPRIS"/>
      <sheetName val="márgenes"/>
      <sheetName val="OTRAS EII"/>
      <sheetName val="G1"/>
      <sheetName val="H1"/>
      <sheetName val="G2"/>
      <sheetName val="H2"/>
      <sheetName val="G3"/>
      <sheetName val="H3"/>
      <sheetName val="G4"/>
      <sheetName val="H4"/>
      <sheetName val="G-GEN"/>
      <sheetName val="H-GEN"/>
      <sheetName val="G-GEN2"/>
      <sheetName val="Gráfico4"/>
      <sheetName val="H-GEN2"/>
      <sheetName val="Gráfico2"/>
      <sheetName val="g-tas-año"/>
      <sheetName val="td-tas-año"/>
      <sheetName val="H-CASOS"/>
      <sheetName val="G-CASOS"/>
      <sheetName val="BDD"/>
      <sheetName val="BDD-TASAS"/>
      <sheetName val="g-TASAS"/>
      <sheetName val="Gráfico1"/>
      <sheetName val="HO-TASAS"/>
      <sheetName val="H-TASAS"/>
      <sheetName val="letalidad"/>
      <sheetName val="morbilidad"/>
    </sheetNames>
    <sheetDataSet>
      <sheetData sheetId="0" refreshError="1"/>
      <sheetData sheetId="1">
        <row r="6">
          <cell r="F6">
            <v>2000</v>
          </cell>
          <cell r="G6">
            <v>2001</v>
          </cell>
          <cell r="H6">
            <v>2002</v>
          </cell>
          <cell r="I6">
            <v>2003</v>
          </cell>
          <cell r="J6">
            <v>2004</v>
          </cell>
          <cell r="K6">
            <v>2005</v>
          </cell>
          <cell r="L6">
            <v>2006</v>
          </cell>
          <cell r="M6">
            <v>2007</v>
          </cell>
        </row>
        <row r="7">
          <cell r="B7" t="str">
            <v>Cobertura de Desinfección</v>
          </cell>
          <cell r="F7">
            <v>94.3</v>
          </cell>
          <cell r="G7">
            <v>95.8</v>
          </cell>
          <cell r="H7">
            <v>94.6</v>
          </cell>
          <cell r="I7">
            <v>95.4</v>
          </cell>
          <cell r="J7">
            <v>95.9</v>
          </cell>
          <cell r="K7">
            <v>95.9</v>
          </cell>
          <cell r="L7">
            <v>96</v>
          </cell>
          <cell r="M7">
            <v>96.2</v>
          </cell>
        </row>
        <row r="8">
          <cell r="B8" t="str">
            <v>Eficiencia de Desinfección</v>
          </cell>
          <cell r="F8">
            <v>80.53</v>
          </cell>
          <cell r="G8">
            <v>81.819999999999993</v>
          </cell>
          <cell r="H8">
            <v>82.56</v>
          </cell>
          <cell r="I8">
            <v>86.47</v>
          </cell>
          <cell r="J8">
            <v>89.02</v>
          </cell>
          <cell r="K8">
            <v>90.19</v>
          </cell>
          <cell r="L8">
            <v>91.2</v>
          </cell>
          <cell r="M8">
            <v>91.2</v>
          </cell>
        </row>
        <row r="9">
          <cell r="B9" t="str">
            <v>Enfermedades Infecciosas Intestinales</v>
          </cell>
          <cell r="F9">
            <v>6.8910580000000001</v>
          </cell>
          <cell r="G9">
            <v>6.908455</v>
          </cell>
          <cell r="H9">
            <v>6.8316299999999996</v>
          </cell>
          <cell r="I9">
            <v>6.1910109999999996</v>
          </cell>
          <cell r="J9">
            <v>5.9518690000000003</v>
          </cell>
          <cell r="K9">
            <v>5.9129519999999998</v>
          </cell>
          <cell r="L9">
            <v>5.5016910000000001</v>
          </cell>
          <cell r="M9">
            <v>5.45</v>
          </cell>
        </row>
      </sheetData>
      <sheetData sheetId="2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  <sheetData sheetId="23"/>
      <sheetData sheetId="24" refreshError="1"/>
      <sheetData sheetId="25" refreshError="1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Grafica"/>
      <sheetName val="07-08"/>
      <sheetName val="06-07"/>
      <sheetName val="tabla 09"/>
      <sheetName val="Grafica 09"/>
      <sheetName val="tabla 10"/>
      <sheetName val="Grafica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Campeche</v>
          </cell>
        </row>
        <row r="3">
          <cell r="A3" t="str">
            <v>Oaxaca</v>
          </cell>
        </row>
        <row r="4">
          <cell r="A4" t="str">
            <v>Tula de Allende</v>
          </cell>
        </row>
        <row r="5">
          <cell r="A5" t="str">
            <v>Juárez</v>
          </cell>
        </row>
        <row r="6">
          <cell r="A6" t="str">
            <v>Colima</v>
          </cell>
        </row>
        <row r="7">
          <cell r="A7" t="str">
            <v>Mérida</v>
          </cell>
        </row>
        <row r="8">
          <cell r="A8" t="str">
            <v>Culiacán</v>
          </cell>
        </row>
        <row r="9">
          <cell r="A9" t="str">
            <v>Mexicali</v>
          </cell>
        </row>
        <row r="10">
          <cell r="A10" t="str">
            <v>Hermosillo</v>
          </cell>
        </row>
        <row r="11">
          <cell r="A11" t="str">
            <v>Tlaxcala</v>
          </cell>
        </row>
        <row r="12">
          <cell r="A12" t="str">
            <v>San Juan del Río</v>
          </cell>
        </row>
        <row r="13">
          <cell r="A13" t="str">
            <v>Delicias</v>
          </cell>
        </row>
        <row r="14">
          <cell r="A14" t="str">
            <v>Distrito Federal</v>
          </cell>
        </row>
        <row r="15">
          <cell r="A15" t="str">
            <v>Guadalajara</v>
          </cell>
        </row>
        <row r="16">
          <cell r="A16" t="str">
            <v>Cancún</v>
          </cell>
        </row>
        <row r="17">
          <cell r="A17" t="str">
            <v>Chetumal</v>
          </cell>
        </row>
        <row r="18">
          <cell r="A18" t="str">
            <v>Gómez Palacio</v>
          </cell>
        </row>
        <row r="19">
          <cell r="A19" t="str">
            <v>La Paz</v>
          </cell>
        </row>
        <row r="20">
          <cell r="A20" t="str">
            <v>Torreón</v>
          </cell>
        </row>
        <row r="21">
          <cell r="A21" t="str">
            <v>San Luis Potosí</v>
          </cell>
        </row>
        <row r="22">
          <cell r="A22" t="str">
            <v>Monterrey</v>
          </cell>
        </row>
        <row r="23">
          <cell r="A23" t="str">
            <v>Xalapa</v>
          </cell>
        </row>
        <row r="24">
          <cell r="A24" t="str">
            <v>Toluca</v>
          </cell>
        </row>
        <row r="25">
          <cell r="A25" t="str">
            <v>Acapulco</v>
          </cell>
        </row>
        <row r="26">
          <cell r="A26" t="str">
            <v>Puebla</v>
          </cell>
        </row>
        <row r="27">
          <cell r="A27" t="str">
            <v>Naucalpan</v>
          </cell>
        </row>
        <row r="28">
          <cell r="A28" t="str">
            <v>León</v>
          </cell>
        </row>
        <row r="29">
          <cell r="A29" t="str">
            <v>Atizapán</v>
          </cell>
        </row>
        <row r="30">
          <cell r="A30" t="str">
            <v>Ensenada</v>
          </cell>
        </row>
        <row r="31">
          <cell r="A31" t="str">
            <v>Tijuana</v>
          </cell>
        </row>
        <row r="32">
          <cell r="A32" t="str">
            <v>Morelia</v>
          </cell>
        </row>
        <row r="33">
          <cell r="A33" t="str">
            <v>Aguascalientes</v>
          </cell>
        </row>
      </sheetData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id="1" name="Tabla12" displayName="Tabla12" ref="B4:C23" totalsRowShown="0" headerRowDxfId="12" dataDxfId="10" headerRowBorderDxfId="11" tableBorderDxfId="9">
  <sortState ref="B5:C14">
    <sortCondition ref="B5:B14"/>
  </sortState>
  <tableColumns count="2">
    <tableColumn id="1" name="ENTIDAD FEDERATIVA" dataDxfId="8"/>
    <tableColumn id="3" name="ASIGNACIÓN" dataDxfId="7">
      <calculatedColumnFormula>+G5/1000000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a1353" displayName="Tabla1353" ref="B4:D23" totalsRowShown="0" headerRowDxfId="6" dataDxfId="4" headerRowBorderDxfId="5" tableBorderDxfId="3">
  <sortState ref="B5:C14">
    <sortCondition ref="B5:B14"/>
  </sortState>
  <tableColumns count="3">
    <tableColumn id="1" name="ENTIDAD FEDERATIVA" dataDxfId="2"/>
    <tableColumn id="4" name="CONDONACIÓN" dataDxfId="1" dataCellStyle="Millares">
      <calculatedColumnFormula>+G5/1000000</calculatedColumnFormula>
    </tableColumn>
    <tableColumn id="2" name="Columna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ivil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/>
      <a:bodyPr wrap="none" rtlCol="0"/>
      <a:lstStyle>
        <a:defPPr>
          <a:defRPr sz="1200" b="0">
            <a:latin typeface="Presidencia Firme" pitchFamily="50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6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6" Type="http://schemas.openxmlformats.org/officeDocument/2006/relationships/printerSettings" Target="../printerSettings/printerSettings74.bin"/><Relationship Id="rId5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7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5.bin"/><Relationship Id="rId1" Type="http://schemas.openxmlformats.org/officeDocument/2006/relationships/printerSettings" Target="../printerSettings/printerSettings84.bin"/><Relationship Id="rId6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7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91.bin"/><Relationship Id="rId1" Type="http://schemas.openxmlformats.org/officeDocument/2006/relationships/printerSettings" Target="../printerSettings/printerSettings90.bin"/><Relationship Id="rId6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9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6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4.bin"/><Relationship Id="rId2" Type="http://schemas.openxmlformats.org/officeDocument/2006/relationships/printerSettings" Target="../printerSettings/printerSettings103.bin"/><Relationship Id="rId1" Type="http://schemas.openxmlformats.org/officeDocument/2006/relationships/printerSettings" Target="../printerSettings/printerSettings102.bin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0.bin"/><Relationship Id="rId2" Type="http://schemas.openxmlformats.org/officeDocument/2006/relationships/printerSettings" Target="../printerSettings/printerSettings109.bin"/><Relationship Id="rId1" Type="http://schemas.openxmlformats.org/officeDocument/2006/relationships/printerSettings" Target="../printerSettings/printerSettings108.bin"/><Relationship Id="rId6" Type="http://schemas.openxmlformats.org/officeDocument/2006/relationships/printerSettings" Target="../printerSettings/printerSettings113.bin"/><Relationship Id="rId5" Type="http://schemas.openxmlformats.org/officeDocument/2006/relationships/printerSettings" Target="../printerSettings/printerSettings112.bin"/><Relationship Id="rId4" Type="http://schemas.openxmlformats.org/officeDocument/2006/relationships/printerSettings" Target="../printerSettings/printerSettings1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15.bin"/><Relationship Id="rId1" Type="http://schemas.openxmlformats.org/officeDocument/2006/relationships/printerSettings" Target="../printerSettings/printerSettings114.bin"/><Relationship Id="rId6" Type="http://schemas.openxmlformats.org/officeDocument/2006/relationships/printerSettings" Target="../printerSettings/printerSettings119.bin"/><Relationship Id="rId5" Type="http://schemas.openxmlformats.org/officeDocument/2006/relationships/printerSettings" Target="../printerSettings/printerSettings118.bin"/><Relationship Id="rId4" Type="http://schemas.openxmlformats.org/officeDocument/2006/relationships/printerSettings" Target="../printerSettings/printerSettings1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6.bin"/><Relationship Id="rId2" Type="http://schemas.openxmlformats.org/officeDocument/2006/relationships/printerSettings" Target="../printerSettings/printerSettings125.bin"/><Relationship Id="rId1" Type="http://schemas.openxmlformats.org/officeDocument/2006/relationships/printerSettings" Target="../printerSettings/printerSettings124.bin"/><Relationship Id="rId4" Type="http://schemas.openxmlformats.org/officeDocument/2006/relationships/printerSettings" Target="../printerSettings/printerSettings127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0.bin"/><Relationship Id="rId2" Type="http://schemas.openxmlformats.org/officeDocument/2006/relationships/printerSettings" Target="../printerSettings/printerSettings129.bin"/><Relationship Id="rId1" Type="http://schemas.openxmlformats.org/officeDocument/2006/relationships/printerSettings" Target="../printerSettings/printerSettings128.bin"/><Relationship Id="rId4" Type="http://schemas.openxmlformats.org/officeDocument/2006/relationships/printerSettings" Target="../printerSettings/printerSettings131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4.bin"/><Relationship Id="rId2" Type="http://schemas.openxmlformats.org/officeDocument/2006/relationships/printerSettings" Target="../printerSettings/printerSettings133.bin"/><Relationship Id="rId1" Type="http://schemas.openxmlformats.org/officeDocument/2006/relationships/printerSettings" Target="../printerSettings/printerSettings132.bin"/><Relationship Id="rId4" Type="http://schemas.openxmlformats.org/officeDocument/2006/relationships/printerSettings" Target="../printerSettings/printerSettings135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3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1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2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5.bin"/><Relationship Id="rId2" Type="http://schemas.openxmlformats.org/officeDocument/2006/relationships/printerSettings" Target="../printerSettings/printerSettings144.bin"/><Relationship Id="rId1" Type="http://schemas.openxmlformats.org/officeDocument/2006/relationships/printerSettings" Target="../printerSettings/printerSettings143.bin"/><Relationship Id="rId6" Type="http://schemas.openxmlformats.org/officeDocument/2006/relationships/printerSettings" Target="../printerSettings/printerSettings148.bin"/><Relationship Id="rId5" Type="http://schemas.openxmlformats.org/officeDocument/2006/relationships/printerSettings" Target="../printerSettings/printerSettings147.bin"/><Relationship Id="rId4" Type="http://schemas.openxmlformats.org/officeDocument/2006/relationships/printerSettings" Target="../printerSettings/printerSettings146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1.bin"/><Relationship Id="rId2" Type="http://schemas.openxmlformats.org/officeDocument/2006/relationships/printerSettings" Target="../printerSettings/printerSettings150.bin"/><Relationship Id="rId1" Type="http://schemas.openxmlformats.org/officeDocument/2006/relationships/printerSettings" Target="../printerSettings/printerSettings149.bin"/><Relationship Id="rId6" Type="http://schemas.openxmlformats.org/officeDocument/2006/relationships/printerSettings" Target="../printerSettings/printerSettings154.bin"/><Relationship Id="rId5" Type="http://schemas.openxmlformats.org/officeDocument/2006/relationships/printerSettings" Target="../printerSettings/printerSettings153.bin"/><Relationship Id="rId4" Type="http://schemas.openxmlformats.org/officeDocument/2006/relationships/printerSettings" Target="../printerSettings/printerSettings15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5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56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9.bin"/><Relationship Id="rId2" Type="http://schemas.openxmlformats.org/officeDocument/2006/relationships/printerSettings" Target="../printerSettings/printerSettings158.bin"/><Relationship Id="rId1" Type="http://schemas.openxmlformats.org/officeDocument/2006/relationships/printerSettings" Target="../printerSettings/printerSettings157.bin"/><Relationship Id="rId6" Type="http://schemas.openxmlformats.org/officeDocument/2006/relationships/printerSettings" Target="../printerSettings/printerSettings162.bin"/><Relationship Id="rId5" Type="http://schemas.openxmlformats.org/officeDocument/2006/relationships/printerSettings" Target="../printerSettings/printerSettings161.bin"/><Relationship Id="rId4" Type="http://schemas.openxmlformats.org/officeDocument/2006/relationships/printerSettings" Target="../printerSettings/printerSettings160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3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6.bin"/><Relationship Id="rId2" Type="http://schemas.openxmlformats.org/officeDocument/2006/relationships/printerSettings" Target="../printerSettings/printerSettings165.bin"/><Relationship Id="rId1" Type="http://schemas.openxmlformats.org/officeDocument/2006/relationships/printerSettings" Target="../printerSettings/printerSettings164.bin"/><Relationship Id="rId4" Type="http://schemas.openxmlformats.org/officeDocument/2006/relationships/printerSettings" Target="../printerSettings/printerSettings167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0.bin"/><Relationship Id="rId2" Type="http://schemas.openxmlformats.org/officeDocument/2006/relationships/printerSettings" Target="../printerSettings/printerSettings169.bin"/><Relationship Id="rId1" Type="http://schemas.openxmlformats.org/officeDocument/2006/relationships/printerSettings" Target="../printerSettings/printerSettings168.bin"/><Relationship Id="rId4" Type="http://schemas.openxmlformats.org/officeDocument/2006/relationships/printerSettings" Target="../printerSettings/printerSettings17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4.bin"/><Relationship Id="rId2" Type="http://schemas.openxmlformats.org/officeDocument/2006/relationships/printerSettings" Target="../printerSettings/printerSettings173.bin"/><Relationship Id="rId1" Type="http://schemas.openxmlformats.org/officeDocument/2006/relationships/printerSettings" Target="../printerSettings/printerSettings172.bin"/><Relationship Id="rId5" Type="http://schemas.openxmlformats.org/officeDocument/2006/relationships/drawing" Target="../drawings/drawing32.xml"/><Relationship Id="rId4" Type="http://schemas.openxmlformats.org/officeDocument/2006/relationships/printerSettings" Target="../printerSettings/printerSettings17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6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9.bin"/><Relationship Id="rId2" Type="http://schemas.openxmlformats.org/officeDocument/2006/relationships/printerSettings" Target="../printerSettings/printerSettings178.bin"/><Relationship Id="rId1" Type="http://schemas.openxmlformats.org/officeDocument/2006/relationships/printerSettings" Target="../printerSettings/printerSettings177.bin"/><Relationship Id="rId4" Type="http://schemas.openxmlformats.org/officeDocument/2006/relationships/printerSettings" Target="../printerSettings/printerSettings180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3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4" Type="http://schemas.openxmlformats.org/officeDocument/2006/relationships/printerSettings" Target="../printerSettings/printerSettings184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6.bin"/><Relationship Id="rId1" Type="http://schemas.openxmlformats.org/officeDocument/2006/relationships/printerSettings" Target="../printerSettings/printerSettings185.bin"/><Relationship Id="rId6" Type="http://schemas.openxmlformats.org/officeDocument/2006/relationships/printerSettings" Target="../printerSettings/printerSettings190.bin"/><Relationship Id="rId5" Type="http://schemas.openxmlformats.org/officeDocument/2006/relationships/printerSettings" Target="../printerSettings/printerSettings189.bin"/><Relationship Id="rId4" Type="http://schemas.openxmlformats.org/officeDocument/2006/relationships/printerSettings" Target="../printerSettings/printerSettings188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9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2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5.bin"/><Relationship Id="rId2" Type="http://schemas.openxmlformats.org/officeDocument/2006/relationships/printerSettings" Target="../printerSettings/printerSettings194.bin"/><Relationship Id="rId1" Type="http://schemas.openxmlformats.org/officeDocument/2006/relationships/printerSettings" Target="../printerSettings/printerSettings193.bin"/><Relationship Id="rId6" Type="http://schemas.openxmlformats.org/officeDocument/2006/relationships/printerSettings" Target="../printerSettings/printerSettings198.bin"/><Relationship Id="rId5" Type="http://schemas.openxmlformats.org/officeDocument/2006/relationships/printerSettings" Target="../printerSettings/printerSettings197.bin"/><Relationship Id="rId4" Type="http://schemas.openxmlformats.org/officeDocument/2006/relationships/printerSettings" Target="../printerSettings/printerSettings19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99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0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1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2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5.bin"/><Relationship Id="rId2" Type="http://schemas.openxmlformats.org/officeDocument/2006/relationships/printerSettings" Target="../printerSettings/printerSettings204.bin"/><Relationship Id="rId1" Type="http://schemas.openxmlformats.org/officeDocument/2006/relationships/printerSettings" Target="../printerSettings/printerSettings203.bin"/><Relationship Id="rId6" Type="http://schemas.openxmlformats.org/officeDocument/2006/relationships/printerSettings" Target="../printerSettings/printerSettings208.bin"/><Relationship Id="rId5" Type="http://schemas.openxmlformats.org/officeDocument/2006/relationships/printerSettings" Target="../printerSettings/printerSettings207.bin"/><Relationship Id="rId4" Type="http://schemas.openxmlformats.org/officeDocument/2006/relationships/printerSettings" Target="../printerSettings/printerSettings206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1.bin"/><Relationship Id="rId2" Type="http://schemas.openxmlformats.org/officeDocument/2006/relationships/printerSettings" Target="../printerSettings/printerSettings210.bin"/><Relationship Id="rId1" Type="http://schemas.openxmlformats.org/officeDocument/2006/relationships/printerSettings" Target="../printerSettings/printerSettings209.bin"/><Relationship Id="rId6" Type="http://schemas.openxmlformats.org/officeDocument/2006/relationships/printerSettings" Target="../printerSettings/printerSettings214.bin"/><Relationship Id="rId5" Type="http://schemas.openxmlformats.org/officeDocument/2006/relationships/printerSettings" Target="../printerSettings/printerSettings213.bin"/><Relationship Id="rId4" Type="http://schemas.openxmlformats.org/officeDocument/2006/relationships/printerSettings" Target="../printerSettings/printerSettings212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7.bin"/><Relationship Id="rId2" Type="http://schemas.openxmlformats.org/officeDocument/2006/relationships/printerSettings" Target="../printerSettings/printerSettings216.bin"/><Relationship Id="rId1" Type="http://schemas.openxmlformats.org/officeDocument/2006/relationships/printerSettings" Target="../printerSettings/printerSettings215.bin"/><Relationship Id="rId6" Type="http://schemas.openxmlformats.org/officeDocument/2006/relationships/printerSettings" Target="../printerSettings/printerSettings220.bin"/><Relationship Id="rId5" Type="http://schemas.openxmlformats.org/officeDocument/2006/relationships/printerSettings" Target="../printerSettings/printerSettings219.bin"/><Relationship Id="rId4" Type="http://schemas.openxmlformats.org/officeDocument/2006/relationships/printerSettings" Target="../printerSettings/printerSettings21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1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4.bin"/><Relationship Id="rId2" Type="http://schemas.openxmlformats.org/officeDocument/2006/relationships/printerSettings" Target="../printerSettings/printerSettings223.bin"/><Relationship Id="rId1" Type="http://schemas.openxmlformats.org/officeDocument/2006/relationships/printerSettings" Target="../printerSettings/printerSettings222.bin"/><Relationship Id="rId6" Type="http://schemas.openxmlformats.org/officeDocument/2006/relationships/printerSettings" Target="../printerSettings/printerSettings227.bin"/><Relationship Id="rId5" Type="http://schemas.openxmlformats.org/officeDocument/2006/relationships/printerSettings" Target="../printerSettings/printerSettings226.bin"/><Relationship Id="rId4" Type="http://schemas.openxmlformats.org/officeDocument/2006/relationships/printerSettings" Target="../printerSettings/printerSettings225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0.bin"/><Relationship Id="rId2" Type="http://schemas.openxmlformats.org/officeDocument/2006/relationships/printerSettings" Target="../printerSettings/printerSettings229.bin"/><Relationship Id="rId1" Type="http://schemas.openxmlformats.org/officeDocument/2006/relationships/printerSettings" Target="../printerSettings/printerSettings228.bin"/><Relationship Id="rId6" Type="http://schemas.openxmlformats.org/officeDocument/2006/relationships/printerSettings" Target="../printerSettings/printerSettings233.bin"/><Relationship Id="rId5" Type="http://schemas.openxmlformats.org/officeDocument/2006/relationships/printerSettings" Target="../printerSettings/printerSettings232.bin"/><Relationship Id="rId4" Type="http://schemas.openxmlformats.org/officeDocument/2006/relationships/printerSettings" Target="../printerSettings/printerSettings231.bin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6.bin"/><Relationship Id="rId2" Type="http://schemas.openxmlformats.org/officeDocument/2006/relationships/printerSettings" Target="../printerSettings/printerSettings235.bin"/><Relationship Id="rId1" Type="http://schemas.openxmlformats.org/officeDocument/2006/relationships/printerSettings" Target="../printerSettings/printerSettings234.bin"/><Relationship Id="rId6" Type="http://schemas.openxmlformats.org/officeDocument/2006/relationships/printerSettings" Target="../printerSettings/printerSettings239.bin"/><Relationship Id="rId5" Type="http://schemas.openxmlformats.org/officeDocument/2006/relationships/printerSettings" Target="../printerSettings/printerSettings238.bin"/><Relationship Id="rId4" Type="http://schemas.openxmlformats.org/officeDocument/2006/relationships/printerSettings" Target="../printerSettings/printerSettings23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41.bin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42.bin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5.bin"/><Relationship Id="rId2" Type="http://schemas.openxmlformats.org/officeDocument/2006/relationships/printerSettings" Target="../printerSettings/printerSettings244.bin"/><Relationship Id="rId1" Type="http://schemas.openxmlformats.org/officeDocument/2006/relationships/printerSettings" Target="../printerSettings/printerSettings243.bin"/><Relationship Id="rId6" Type="http://schemas.openxmlformats.org/officeDocument/2006/relationships/printerSettings" Target="../printerSettings/printerSettings248.bin"/><Relationship Id="rId5" Type="http://schemas.openxmlformats.org/officeDocument/2006/relationships/printerSettings" Target="../printerSettings/printerSettings247.bin"/><Relationship Id="rId4" Type="http://schemas.openxmlformats.org/officeDocument/2006/relationships/printerSettings" Target="../printerSettings/printerSettings2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enableFormatConditionsCalculation="0">
    <tabColor theme="9" tint="-0.249977111117893"/>
  </sheetPr>
  <dimension ref="A1:J42"/>
  <sheetViews>
    <sheetView showGridLines="0" zoomScale="110" zoomScaleNormal="110" workbookViewId="0">
      <selection activeCell="M24" sqref="M24"/>
    </sheetView>
  </sheetViews>
  <sheetFormatPr baseColWidth="10" defaultRowHeight="12.75"/>
  <cols>
    <col min="1" max="1" width="1.7109375" customWidth="1"/>
    <col min="2" max="2" width="9.42578125" customWidth="1"/>
    <col min="3" max="6" width="16.42578125" bestFit="1" customWidth="1"/>
    <col min="7" max="7" width="17.7109375" bestFit="1" customWidth="1"/>
    <col min="8" max="8" width="1.7109375" customWidth="1"/>
  </cols>
  <sheetData>
    <row r="1" spans="1:8" s="46" customFormat="1" ht="12" customHeight="1">
      <c r="A1" s="258"/>
      <c r="B1" s="259"/>
      <c r="C1" s="260"/>
      <c r="D1" s="260"/>
      <c r="E1" s="260"/>
      <c r="F1" s="260"/>
      <c r="G1" s="260"/>
      <c r="H1" s="261"/>
    </row>
    <row r="2" spans="1:8" ht="15.75">
      <c r="A2" s="262"/>
      <c r="B2" s="1098" t="s">
        <v>595</v>
      </c>
      <c r="C2" s="1098"/>
      <c r="D2" s="1098"/>
      <c r="E2" s="1098"/>
      <c r="F2" s="1098"/>
      <c r="G2" s="1098"/>
      <c r="H2" s="263"/>
    </row>
    <row r="3" spans="1:8" ht="15.75" thickBot="1">
      <c r="A3" s="264"/>
      <c r="B3" s="412" t="s">
        <v>112</v>
      </c>
      <c r="C3" s="394"/>
      <c r="D3" s="394"/>
      <c r="E3" s="394"/>
      <c r="F3" s="394"/>
      <c r="G3" s="394"/>
      <c r="H3" s="263"/>
    </row>
    <row r="4" spans="1:8" ht="21" customHeight="1" thickBot="1">
      <c r="A4" s="264"/>
      <c r="B4" s="441" t="s">
        <v>256</v>
      </c>
      <c r="C4" s="441" t="s">
        <v>280</v>
      </c>
      <c r="D4" s="441" t="s">
        <v>281</v>
      </c>
      <c r="E4" s="441" t="s">
        <v>282</v>
      </c>
      <c r="F4" s="992" t="s">
        <v>623</v>
      </c>
      <c r="G4" s="441" t="s">
        <v>255</v>
      </c>
      <c r="H4" s="263"/>
    </row>
    <row r="5" spans="1:8" ht="15" customHeight="1" thickBot="1">
      <c r="A5" s="264"/>
      <c r="B5" s="438">
        <v>1991</v>
      </c>
      <c r="C5" s="479">
        <v>998</v>
      </c>
      <c r="D5" s="479">
        <v>729</v>
      </c>
      <c r="E5" s="479" t="s">
        <v>273</v>
      </c>
      <c r="F5" s="479">
        <v>836</v>
      </c>
      <c r="G5" s="482">
        <v>2563</v>
      </c>
      <c r="H5" s="265"/>
    </row>
    <row r="6" spans="1:8" ht="15" customHeight="1" thickBot="1">
      <c r="A6" s="264"/>
      <c r="B6" s="439">
        <v>1992</v>
      </c>
      <c r="C6" s="480">
        <v>1271</v>
      </c>
      <c r="D6" s="480">
        <v>626</v>
      </c>
      <c r="E6" s="480" t="s">
        <v>273</v>
      </c>
      <c r="F6" s="480">
        <v>563</v>
      </c>
      <c r="G6" s="482">
        <v>2460</v>
      </c>
      <c r="H6" s="265"/>
    </row>
    <row r="7" spans="1:8" ht="15" customHeight="1" thickBot="1">
      <c r="A7" s="264"/>
      <c r="B7" s="435">
        <v>1993</v>
      </c>
      <c r="C7" s="481">
        <v>1569</v>
      </c>
      <c r="D7" s="481">
        <v>906</v>
      </c>
      <c r="E7" s="481">
        <v>102</v>
      </c>
      <c r="F7" s="481">
        <v>578</v>
      </c>
      <c r="G7" s="482">
        <v>3155</v>
      </c>
      <c r="H7" s="265"/>
    </row>
    <row r="8" spans="1:8" ht="15" customHeight="1" thickBot="1">
      <c r="A8" s="264"/>
      <c r="B8" s="434">
        <v>1994</v>
      </c>
      <c r="C8" s="480">
        <v>1424</v>
      </c>
      <c r="D8" s="480">
        <v>427</v>
      </c>
      <c r="E8" s="480">
        <v>127</v>
      </c>
      <c r="F8" s="480">
        <v>352</v>
      </c>
      <c r="G8" s="482">
        <v>2330</v>
      </c>
      <c r="H8" s="265"/>
    </row>
    <row r="9" spans="1:8" ht="15" customHeight="1" thickBot="1">
      <c r="A9" s="264"/>
      <c r="B9" s="435">
        <v>1995</v>
      </c>
      <c r="C9" s="481">
        <v>545</v>
      </c>
      <c r="D9" s="481">
        <v>672</v>
      </c>
      <c r="E9" s="481">
        <v>432</v>
      </c>
      <c r="F9" s="481">
        <v>595</v>
      </c>
      <c r="G9" s="482">
        <v>2244</v>
      </c>
      <c r="H9" s="265"/>
    </row>
    <row r="10" spans="1:8" ht="15" customHeight="1" thickBot="1">
      <c r="A10" s="264"/>
      <c r="B10" s="434">
        <v>1996</v>
      </c>
      <c r="C10" s="480">
        <v>1178</v>
      </c>
      <c r="D10" s="480">
        <v>346</v>
      </c>
      <c r="E10" s="480">
        <v>171</v>
      </c>
      <c r="F10" s="480">
        <v>50</v>
      </c>
      <c r="G10" s="482">
        <v>1745</v>
      </c>
      <c r="H10" s="265"/>
    </row>
    <row r="11" spans="1:8" ht="15" customHeight="1" thickBot="1">
      <c r="A11" s="264"/>
      <c r="B11" s="435">
        <v>1997</v>
      </c>
      <c r="C11" s="481">
        <v>1284</v>
      </c>
      <c r="D11" s="481">
        <v>512</v>
      </c>
      <c r="E11" s="481">
        <v>505</v>
      </c>
      <c r="F11" s="481">
        <v>109</v>
      </c>
      <c r="G11" s="482">
        <v>2410</v>
      </c>
      <c r="H11" s="265"/>
    </row>
    <row r="12" spans="1:8" ht="15" customHeight="1" thickBot="1">
      <c r="A12" s="264"/>
      <c r="B12" s="434">
        <v>1998</v>
      </c>
      <c r="C12" s="480">
        <v>1708</v>
      </c>
      <c r="D12" s="480">
        <v>453</v>
      </c>
      <c r="E12" s="480">
        <v>243</v>
      </c>
      <c r="F12" s="480">
        <v>206</v>
      </c>
      <c r="G12" s="482">
        <v>2610</v>
      </c>
      <c r="H12" s="265"/>
    </row>
    <row r="13" spans="1:8" ht="15" customHeight="1" thickBot="1">
      <c r="A13" s="264"/>
      <c r="B13" s="435">
        <v>1999</v>
      </c>
      <c r="C13" s="481">
        <v>1621</v>
      </c>
      <c r="D13" s="481">
        <v>752</v>
      </c>
      <c r="E13" s="481">
        <v>205</v>
      </c>
      <c r="F13" s="481">
        <v>163</v>
      </c>
      <c r="G13" s="482">
        <v>2741</v>
      </c>
      <c r="H13" s="265"/>
    </row>
    <row r="14" spans="1:8" ht="15" customHeight="1" thickBot="1">
      <c r="A14" s="264"/>
      <c r="B14" s="434">
        <v>2000</v>
      </c>
      <c r="C14" s="480">
        <v>2133</v>
      </c>
      <c r="D14" s="480">
        <v>1327</v>
      </c>
      <c r="E14" s="480">
        <v>106.8</v>
      </c>
      <c r="F14" s="480">
        <v>344.3</v>
      </c>
      <c r="G14" s="482">
        <v>3911.1000000000004</v>
      </c>
      <c r="H14" s="265"/>
    </row>
    <row r="15" spans="1:8" ht="15" customHeight="1" thickBot="1">
      <c r="A15" s="264"/>
      <c r="B15" s="435">
        <v>2001</v>
      </c>
      <c r="C15" s="481">
        <v>1055.7</v>
      </c>
      <c r="D15" s="481">
        <v>744.2</v>
      </c>
      <c r="E15" s="481">
        <v>313.7</v>
      </c>
      <c r="F15" s="481">
        <v>611.9</v>
      </c>
      <c r="G15" s="482">
        <v>2725.5</v>
      </c>
      <c r="H15" s="265"/>
    </row>
    <row r="16" spans="1:8" ht="15" customHeight="1" thickBot="1">
      <c r="A16" s="264"/>
      <c r="B16" s="434">
        <v>2002</v>
      </c>
      <c r="C16" s="480">
        <v>1685.4444343693999</v>
      </c>
      <c r="D16" s="480">
        <v>1005.7713744969224</v>
      </c>
      <c r="E16" s="480">
        <v>695.08926243406631</v>
      </c>
      <c r="F16" s="480">
        <v>192.35842968</v>
      </c>
      <c r="G16" s="482">
        <v>3578.6635009803886</v>
      </c>
      <c r="H16" s="265"/>
    </row>
    <row r="17" spans="1:10" ht="15" customHeight="1" thickBot="1">
      <c r="A17" s="264"/>
      <c r="B17" s="435">
        <v>2003</v>
      </c>
      <c r="C17" s="481">
        <v>3302.14840869</v>
      </c>
      <c r="D17" s="481">
        <v>2075.5878918398807</v>
      </c>
      <c r="E17" s="481">
        <v>1828.9200122558336</v>
      </c>
      <c r="F17" s="481">
        <v>152.13214199999999</v>
      </c>
      <c r="G17" s="482">
        <v>7358.7884547857157</v>
      </c>
      <c r="H17" s="265"/>
    </row>
    <row r="18" spans="1:10" ht="15" customHeight="1" thickBot="1">
      <c r="A18" s="264"/>
      <c r="B18" s="434">
        <v>2004</v>
      </c>
      <c r="C18" s="480">
        <v>3086.1125948940003</v>
      </c>
      <c r="D18" s="480">
        <v>2572.0082378376665</v>
      </c>
      <c r="E18" s="480">
        <v>1103.907015338094</v>
      </c>
      <c r="F18" s="480">
        <v>438.55473798347623</v>
      </c>
      <c r="G18" s="482">
        <v>7200.5825860532377</v>
      </c>
      <c r="H18" s="265"/>
    </row>
    <row r="19" spans="1:10" ht="15" customHeight="1" thickBot="1">
      <c r="A19" s="264"/>
      <c r="B19" s="435">
        <v>2005</v>
      </c>
      <c r="C19" s="481">
        <v>6175.2977423750081</v>
      </c>
      <c r="D19" s="481">
        <v>4790.6698602730503</v>
      </c>
      <c r="E19" s="481">
        <v>2609.9941036349223</v>
      </c>
      <c r="F19" s="481">
        <v>907.05768234000004</v>
      </c>
      <c r="G19" s="482">
        <v>14483.019388622983</v>
      </c>
      <c r="H19" s="265"/>
    </row>
    <row r="20" spans="1:10" ht="15" customHeight="1" thickBot="1">
      <c r="A20" s="264"/>
      <c r="B20" s="434">
        <v>2006</v>
      </c>
      <c r="C20" s="480">
        <v>5152.7882859450647</v>
      </c>
      <c r="D20" s="480">
        <v>2513.9270928151936</v>
      </c>
      <c r="E20" s="480">
        <v>2542.7153379407132</v>
      </c>
      <c r="F20" s="480">
        <v>916.34317979000002</v>
      </c>
      <c r="G20" s="482">
        <v>11125.773896490971</v>
      </c>
      <c r="H20" s="265"/>
    </row>
    <row r="21" spans="1:10" ht="15" customHeight="1" thickBot="1">
      <c r="A21" s="391"/>
      <c r="B21" s="435">
        <v>2007</v>
      </c>
      <c r="C21" s="481">
        <v>8275.6140104833503</v>
      </c>
      <c r="D21" s="481">
        <v>3799.1269752846606</v>
      </c>
      <c r="E21" s="481">
        <v>2381.2578158200004</v>
      </c>
      <c r="F21" s="481">
        <v>1193.3815785500003</v>
      </c>
      <c r="G21" s="482">
        <v>15649.380380138013</v>
      </c>
      <c r="H21" s="265"/>
    </row>
    <row r="22" spans="1:10" ht="15" customHeight="1" thickBot="1">
      <c r="A22" s="360"/>
      <c r="B22" s="434">
        <v>2008</v>
      </c>
      <c r="C22" s="480">
        <v>10718.625654627167</v>
      </c>
      <c r="D22" s="480">
        <v>5879.2741531671927</v>
      </c>
      <c r="E22" s="480">
        <v>2899.3776468035312</v>
      </c>
      <c r="F22" s="480">
        <v>794.90058927999996</v>
      </c>
      <c r="G22" s="482">
        <v>20292.178043877895</v>
      </c>
      <c r="H22" s="265"/>
    </row>
    <row r="23" spans="1:10" ht="15" customHeight="1" thickBot="1">
      <c r="A23" s="264"/>
      <c r="B23" s="440">
        <v>2009</v>
      </c>
      <c r="C23" s="482">
        <v>12763.735986510001</v>
      </c>
      <c r="D23" s="482">
        <v>5054.9509058845215</v>
      </c>
      <c r="E23" s="483">
        <v>2947.9692713049999</v>
      </c>
      <c r="F23" s="483">
        <v>1806.0019639700001</v>
      </c>
      <c r="G23" s="482">
        <v>22572.658127669521</v>
      </c>
      <c r="H23" s="265"/>
    </row>
    <row r="24" spans="1:10" ht="12" customHeight="1">
      <c r="A24" s="263"/>
      <c r="B24" s="1099" t="s">
        <v>599</v>
      </c>
      <c r="C24" s="1099"/>
      <c r="D24" s="1099"/>
      <c r="E24" s="1099"/>
      <c r="F24" s="1099"/>
      <c r="G24" s="1099"/>
      <c r="H24" s="263"/>
    </row>
    <row r="25" spans="1:10" ht="14.25" customHeight="1">
      <c r="A25" s="263"/>
      <c r="B25" s="1097" t="s">
        <v>600</v>
      </c>
      <c r="C25" s="1097"/>
      <c r="D25" s="1097"/>
      <c r="E25" s="1097"/>
      <c r="F25" s="1097"/>
      <c r="G25" s="1097"/>
      <c r="H25" s="263"/>
    </row>
    <row r="26" spans="1:10" ht="12" customHeight="1">
      <c r="A26" s="263"/>
      <c r="B26" s="1097" t="s">
        <v>274</v>
      </c>
      <c r="C26" s="1097"/>
      <c r="D26" s="1097"/>
      <c r="E26" s="1097"/>
      <c r="F26" s="1097"/>
      <c r="G26" s="1097"/>
      <c r="H26" s="265"/>
    </row>
    <row r="27" spans="1:10" ht="12" customHeight="1">
      <c r="A27" s="263"/>
      <c r="B27" s="1096" t="s">
        <v>277</v>
      </c>
      <c r="C27" s="1096"/>
      <c r="D27" s="1096"/>
      <c r="E27" s="1096"/>
      <c r="F27" s="1096"/>
      <c r="G27" s="1096"/>
      <c r="H27" s="265"/>
    </row>
    <row r="28" spans="1:10">
      <c r="B28" s="10"/>
      <c r="C28" s="10"/>
      <c r="D28" s="10"/>
      <c r="E28" s="10"/>
      <c r="F28" s="10"/>
      <c r="G28" s="10"/>
      <c r="H28" s="10"/>
    </row>
    <row r="30" spans="1:10">
      <c r="J30" s="3"/>
    </row>
    <row r="31" spans="1:10">
      <c r="C31" s="62"/>
      <c r="D31" s="62"/>
      <c r="E31" s="62"/>
      <c r="F31" s="62"/>
    </row>
    <row r="32" spans="1:10">
      <c r="C32" s="392"/>
      <c r="D32" s="392"/>
      <c r="E32" s="392"/>
      <c r="F32" s="392"/>
      <c r="G32" s="191"/>
    </row>
    <row r="33" spans="2:7">
      <c r="C33" s="191"/>
      <c r="D33" s="191"/>
      <c r="E33" s="191"/>
      <c r="F33" s="191"/>
      <c r="G33" s="191"/>
    </row>
    <row r="35" spans="2:7">
      <c r="B35" s="235"/>
    </row>
    <row r="42" spans="2:7">
      <c r="B42" s="242"/>
    </row>
  </sheetData>
  <sheetProtection password="CF4C" sheet="1" objects="1" scenarios="1"/>
  <customSheetViews>
    <customSheetView guid="{E9B43C8C-734F-433D-AD37-344F9303B5CC}" showPageBreaks="1" showGridLines="0" showRuler="0">
      <pane ySplit="14.7" topLeftCell="A23" activePane="bottomLeft"/>
      <selection pane="bottomLeft" activeCell="I30" sqref="I30"/>
      <pageMargins left="0.19685039370078741" right="0.19685039370078741" top="0.59055118110236227" bottom="0.59055118110236227" header="0" footer="0.39370078740157483"/>
      <printOptions horizontalCentered="1"/>
      <pageSetup orientation="portrait" r:id="rId1"/>
      <headerFooter alignWithMargins="0"/>
    </customSheetView>
    <customSheetView guid="{9BF398E0-33D8-4E64-94A2-9B7C822C8383}" showPageBreaks="1" showGridLines="0" showRuler="0">
      <pageMargins left="0.78740157480314965" right="0.78740157480314965" top="0.98425196850393704" bottom="0.98425196850393704" header="0" footer="0"/>
      <printOptions horizontalCentered="1"/>
      <pageSetup orientation="portrait" r:id="rId2"/>
      <headerFooter alignWithMargins="0"/>
    </customSheetView>
    <customSheetView guid="{6DCFE324-2DF9-4BB0-88BD-A4AD316C7A9E}" showGridLines="0" showRuler="0">
      <pageMargins left="0.78740157480314965" right="0.78740157480314965" top="0.98425196850393704" bottom="0.98425196850393704" header="0" footer="0"/>
      <printOptions horizontalCentered="1"/>
      <pageSetup orientation="portrait" r:id="rId3"/>
      <headerFooter alignWithMargins="0"/>
    </customSheetView>
    <customSheetView guid="{48A744A8-8180-4A3B-8108-49EF41816969}" showGridLines="0" showRuler="0" topLeftCell="A8">
      <pageMargins left="0.78740157480314965" right="0.78740157480314965" top="0.98425196850393704" bottom="0.98425196850393704" header="0" footer="0"/>
      <printOptions horizontalCentered="1"/>
      <pageSetup orientation="portrait" r:id="rId4"/>
      <headerFooter alignWithMargins="0"/>
    </customSheetView>
    <customSheetView guid="{9E220BD5-A526-40BD-8239-3A0461590922}" showGridLines="0" showRuler="0">
      <pane ySplit="14.7" topLeftCell="A23"/>
      <selection activeCell="B34" sqref="B34"/>
      <pageMargins left="0.19685039370078741" right="0.19685039370078741" top="0.59055118110236227" bottom="0.59055118110236227" header="0" footer="0.39370078740157483"/>
      <printOptions horizontalCentered="1"/>
      <pageSetup orientation="portrait" r:id="rId5"/>
      <headerFooter alignWithMargins="0"/>
    </customSheetView>
  </customSheetViews>
  <mergeCells count="5">
    <mergeCell ref="B27:G27"/>
    <mergeCell ref="B26:G26"/>
    <mergeCell ref="B2:G2"/>
    <mergeCell ref="B24:G24"/>
    <mergeCell ref="B25:G25"/>
  </mergeCells>
  <phoneticPr fontId="9" type="noConversion"/>
  <printOptions horizontalCentered="1"/>
  <pageMargins left="0.19685039370078741" right="0.19685039370078741" top="0.59055118110236227" bottom="0.59055118110236227" header="0" footer="0.39370078740157483"/>
  <pageSetup orientation="portrait" r:id="rId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39"/>
  <sheetViews>
    <sheetView showGridLines="0" zoomScaleNormal="100" workbookViewId="0">
      <selection activeCell="K16" sqref="K16"/>
    </sheetView>
  </sheetViews>
  <sheetFormatPr baseColWidth="10" defaultRowHeight="12.75"/>
  <cols>
    <col min="1" max="1" width="1.7109375" customWidth="1"/>
    <col min="2" max="2" width="9.5703125" bestFit="1" customWidth="1"/>
    <col min="3" max="3" width="14.7109375" customWidth="1"/>
    <col min="4" max="5" width="15.7109375" customWidth="1"/>
    <col min="6" max="6" width="16.7109375" customWidth="1"/>
    <col min="7" max="7" width="12.7109375" customWidth="1"/>
    <col min="8" max="8" width="18.85546875" customWidth="1"/>
    <col min="9" max="9" width="2" customWidth="1"/>
    <col min="10" max="10" width="9.7109375" customWidth="1"/>
    <col min="11" max="11" width="7.28515625" bestFit="1" customWidth="1"/>
    <col min="12" max="12" width="8" bestFit="1" customWidth="1"/>
  </cols>
  <sheetData>
    <row r="1" spans="1:10" s="46" customFormat="1" ht="12" customHeight="1">
      <c r="A1" s="261"/>
      <c r="B1" s="259"/>
      <c r="C1" s="260"/>
      <c r="D1" s="260"/>
      <c r="E1" s="260"/>
      <c r="F1" s="260"/>
      <c r="G1" s="260"/>
      <c r="H1" s="260"/>
      <c r="I1" s="261"/>
    </row>
    <row r="2" spans="1:10" ht="18.75" customHeight="1">
      <c r="A2" s="263"/>
      <c r="B2" s="1126" t="s">
        <v>604</v>
      </c>
      <c r="C2" s="1126"/>
      <c r="D2" s="1126"/>
      <c r="E2" s="1126"/>
      <c r="F2" s="1126"/>
      <c r="G2" s="1126"/>
      <c r="H2" s="1126"/>
      <c r="I2" s="263"/>
    </row>
    <row r="3" spans="1:10" ht="15" customHeight="1" thickBot="1">
      <c r="A3" s="263"/>
      <c r="B3" s="412" t="s">
        <v>112</v>
      </c>
      <c r="C3" s="394"/>
      <c r="D3" s="394"/>
      <c r="E3" s="394"/>
      <c r="F3" s="394"/>
      <c r="G3" s="394"/>
      <c r="H3" s="393"/>
      <c r="I3" s="263"/>
    </row>
    <row r="4" spans="1:10" ht="21" customHeight="1">
      <c r="A4" s="263"/>
      <c r="B4" s="1117" t="s">
        <v>256</v>
      </c>
      <c r="C4" s="1117" t="s">
        <v>289</v>
      </c>
      <c r="D4" s="1117" t="s">
        <v>290</v>
      </c>
      <c r="E4" s="1117" t="s">
        <v>292</v>
      </c>
      <c r="F4" s="1117" t="s">
        <v>293</v>
      </c>
      <c r="G4" s="1117" t="s">
        <v>569</v>
      </c>
      <c r="H4" s="1129" t="s">
        <v>255</v>
      </c>
      <c r="I4" s="263"/>
    </row>
    <row r="5" spans="1:10" ht="21" customHeight="1" thickBot="1">
      <c r="A5" s="263"/>
      <c r="B5" s="1128"/>
      <c r="C5" s="1128"/>
      <c r="D5" s="1128"/>
      <c r="E5" s="1128"/>
      <c r="F5" s="1128"/>
      <c r="G5" s="1128"/>
      <c r="H5" s="1130"/>
      <c r="I5" s="263"/>
    </row>
    <row r="6" spans="1:10" ht="14.25" customHeight="1" thickBot="1">
      <c r="A6" s="263"/>
      <c r="B6" s="447">
        <v>1999</v>
      </c>
      <c r="C6" s="481">
        <v>1737.8476000000001</v>
      </c>
      <c r="D6" s="481">
        <v>484.77690000000001</v>
      </c>
      <c r="E6" s="481">
        <v>264.73259999999999</v>
      </c>
      <c r="F6" s="481">
        <v>229.32579999999999</v>
      </c>
      <c r="G6" s="481">
        <v>24.561499999999999</v>
      </c>
      <c r="H6" s="482">
        <v>2741.2443999999996</v>
      </c>
      <c r="I6" s="263"/>
    </row>
    <row r="7" spans="1:10" ht="14.25" customHeight="1" thickBot="1">
      <c r="A7" s="263"/>
      <c r="B7" s="448">
        <v>2000</v>
      </c>
      <c r="C7" s="480">
        <v>2185.7057999999997</v>
      </c>
      <c r="D7" s="480">
        <v>649.63509999999997</v>
      </c>
      <c r="E7" s="480">
        <v>1005.3376999999999</v>
      </c>
      <c r="F7" s="480">
        <v>42.326500000000003</v>
      </c>
      <c r="G7" s="480">
        <v>28.6433</v>
      </c>
      <c r="H7" s="482">
        <v>3911.6484</v>
      </c>
      <c r="I7" s="263"/>
    </row>
    <row r="8" spans="1:10" ht="14.25" customHeight="1" thickBot="1">
      <c r="A8" s="263"/>
      <c r="B8" s="447">
        <v>2001</v>
      </c>
      <c r="C8" s="481">
        <v>1393.1128999999999</v>
      </c>
      <c r="D8" s="481">
        <v>398.73070000000001</v>
      </c>
      <c r="E8" s="481">
        <v>897.8886</v>
      </c>
      <c r="F8" s="481" t="s">
        <v>283</v>
      </c>
      <c r="G8" s="481">
        <v>35.793999999999997</v>
      </c>
      <c r="H8" s="482">
        <v>2725.5261999999998</v>
      </c>
      <c r="I8" s="263"/>
      <c r="J8" s="57"/>
    </row>
    <row r="9" spans="1:10" ht="14.25" customHeight="1" thickBot="1">
      <c r="A9" s="263"/>
      <c r="B9" s="448">
        <v>2002</v>
      </c>
      <c r="C9" s="480">
        <v>1761.2113565896022</v>
      </c>
      <c r="D9" s="480">
        <v>1158.4639043086679</v>
      </c>
      <c r="E9" s="480">
        <v>287.7993313895098</v>
      </c>
      <c r="F9" s="480">
        <v>289.40795180260858</v>
      </c>
      <c r="G9" s="480">
        <v>81.780957000000015</v>
      </c>
      <c r="H9" s="482">
        <v>3578.6635010903888</v>
      </c>
      <c r="I9" s="263"/>
    </row>
    <row r="10" spans="1:10" ht="14.25" customHeight="1" thickBot="1">
      <c r="A10" s="263"/>
      <c r="B10" s="447">
        <v>2003</v>
      </c>
      <c r="C10" s="481">
        <v>3275.5408072600953</v>
      </c>
      <c r="D10" s="481">
        <v>2302.5639904667619</v>
      </c>
      <c r="E10" s="481">
        <v>708.32558908485714</v>
      </c>
      <c r="F10" s="481">
        <v>896.53327497400028</v>
      </c>
      <c r="G10" s="481">
        <v>175.82480489999998</v>
      </c>
      <c r="H10" s="482">
        <v>7358.7884666857144</v>
      </c>
      <c r="I10" s="263"/>
    </row>
    <row r="11" spans="1:10" ht="14.25" customHeight="1" thickBot="1">
      <c r="A11" s="263"/>
      <c r="B11" s="448">
        <v>2004</v>
      </c>
      <c r="C11" s="480">
        <v>2914.609312919139</v>
      </c>
      <c r="D11" s="480">
        <v>2141.2029903065818</v>
      </c>
      <c r="E11" s="480">
        <v>989.67527588885105</v>
      </c>
      <c r="F11" s="480">
        <v>1084.3822482308544</v>
      </c>
      <c r="G11" s="480">
        <v>70.712758980000004</v>
      </c>
      <c r="H11" s="482">
        <v>7200.5825863254258</v>
      </c>
      <c r="I11" s="263"/>
    </row>
    <row r="12" spans="1:10" ht="14.25" customHeight="1" thickBot="1">
      <c r="A12" s="263"/>
      <c r="B12" s="447">
        <v>2005</v>
      </c>
      <c r="C12" s="481">
        <v>5381.3096398801727</v>
      </c>
      <c r="D12" s="481">
        <v>4224.4265085283532</v>
      </c>
      <c r="E12" s="481">
        <v>3166.7146021021449</v>
      </c>
      <c r="F12" s="481">
        <v>1592.894726415135</v>
      </c>
      <c r="G12" s="481">
        <v>117.67391047999999</v>
      </c>
      <c r="H12" s="482">
        <v>14483.019387405808</v>
      </c>
      <c r="I12" s="263"/>
    </row>
    <row r="13" spans="1:10" ht="14.25" customHeight="1" thickBot="1">
      <c r="A13" s="263"/>
      <c r="B13" s="448">
        <v>2006</v>
      </c>
      <c r="C13" s="480">
        <v>3487.8418362297998</v>
      </c>
      <c r="D13" s="480">
        <v>3334.0166442735276</v>
      </c>
      <c r="E13" s="480">
        <v>1765.0633391240001</v>
      </c>
      <c r="F13" s="480">
        <v>2390.1545838936445</v>
      </c>
      <c r="G13" s="480">
        <v>148.69749296999998</v>
      </c>
      <c r="H13" s="482">
        <v>11125.773896490973</v>
      </c>
      <c r="I13" s="263"/>
    </row>
    <row r="14" spans="1:10" ht="14.25" customHeight="1" thickBot="1">
      <c r="A14" s="263"/>
      <c r="B14" s="447">
        <v>2007</v>
      </c>
      <c r="C14" s="481">
        <v>6390.4097667487331</v>
      </c>
      <c r="D14" s="481">
        <v>4767.1126118270449</v>
      </c>
      <c r="E14" s="481">
        <v>1592.5421204945678</v>
      </c>
      <c r="F14" s="481">
        <v>2449.5213734631643</v>
      </c>
      <c r="G14" s="481">
        <v>449.79450760450004</v>
      </c>
      <c r="H14" s="482">
        <v>15649.380380138009</v>
      </c>
      <c r="I14" s="263"/>
    </row>
    <row r="15" spans="1:10" ht="14.25" customHeight="1" thickBot="1">
      <c r="A15" s="263"/>
      <c r="B15" s="448">
        <v>2008</v>
      </c>
      <c r="C15" s="480">
        <v>7745.0863876865205</v>
      </c>
      <c r="D15" s="480">
        <v>6273.5688522417458</v>
      </c>
      <c r="E15" s="480">
        <v>2119.8135794643599</v>
      </c>
      <c r="F15" s="480">
        <v>3050.1081333060824</v>
      </c>
      <c r="G15" s="480">
        <v>1103.6010911791827</v>
      </c>
      <c r="H15" s="482">
        <v>20292.178043877891</v>
      </c>
      <c r="I15" s="263"/>
    </row>
    <row r="16" spans="1:10" ht="14.25" customHeight="1" thickBot="1">
      <c r="A16" s="263"/>
      <c r="B16" s="440">
        <v>2009</v>
      </c>
      <c r="C16" s="483">
        <v>6645.6777173354103</v>
      </c>
      <c r="D16" s="483">
        <v>6878.1093462645031</v>
      </c>
      <c r="E16" s="483">
        <v>2007.3912310554231</v>
      </c>
      <c r="F16" s="483">
        <v>5419.2116241341864</v>
      </c>
      <c r="G16" s="483">
        <v>1622.26820888</v>
      </c>
      <c r="H16" s="482">
        <v>22572.658127669521</v>
      </c>
      <c r="I16" s="263"/>
    </row>
    <row r="17" spans="1:10" ht="16.5" customHeight="1">
      <c r="A17" s="263"/>
      <c r="B17" s="1097" t="s">
        <v>630</v>
      </c>
      <c r="C17" s="1112"/>
      <c r="D17" s="1112"/>
      <c r="E17" s="1112"/>
      <c r="F17" s="1112"/>
      <c r="G17" s="1112"/>
      <c r="H17" s="1127"/>
      <c r="I17" s="273"/>
    </row>
    <row r="18" spans="1:10" ht="18" customHeight="1">
      <c r="A18" s="263"/>
      <c r="B18" s="1097" t="s">
        <v>631</v>
      </c>
      <c r="C18" s="1112"/>
      <c r="D18" s="1112"/>
      <c r="E18" s="1112"/>
      <c r="F18" s="1112"/>
      <c r="G18" s="1112"/>
      <c r="H18" s="1127"/>
      <c r="I18" s="273"/>
      <c r="J18" s="2"/>
    </row>
    <row r="19" spans="1:10" ht="12.75" customHeight="1">
      <c r="A19" s="263"/>
      <c r="B19" s="1096" t="s">
        <v>311</v>
      </c>
      <c r="C19" s="1096"/>
      <c r="D19" s="1096"/>
      <c r="E19" s="1096"/>
      <c r="F19" s="1096"/>
      <c r="G19" s="1096"/>
      <c r="H19" s="1127"/>
      <c r="I19" s="273"/>
    </row>
    <row r="20" spans="1:10" ht="12" customHeight="1">
      <c r="A20" s="263"/>
      <c r="B20" s="1097" t="s">
        <v>277</v>
      </c>
      <c r="C20" s="1097"/>
      <c r="D20" s="1097"/>
      <c r="E20" s="1097"/>
      <c r="F20" s="1097"/>
      <c r="G20" s="1097"/>
      <c r="H20" s="1127"/>
      <c r="I20" s="273"/>
      <c r="J20" s="20"/>
    </row>
    <row r="21" spans="1:10" ht="12" customHeight="1">
      <c r="A21" s="263"/>
      <c r="B21" s="274"/>
      <c r="C21" s="274"/>
      <c r="D21" s="274"/>
      <c r="E21" s="274"/>
      <c r="F21" s="274"/>
      <c r="G21" s="274"/>
      <c r="H21" s="274"/>
      <c r="I21" s="273"/>
    </row>
    <row r="22" spans="1:10">
      <c r="B22" s="54"/>
      <c r="C22" s="54"/>
      <c r="D22" s="54"/>
      <c r="E22" s="54"/>
      <c r="F22" s="54"/>
      <c r="G22" s="54"/>
    </row>
    <row r="24" spans="1:10">
      <c r="B24" s="235"/>
    </row>
    <row r="32" spans="1:10">
      <c r="B32" s="235"/>
    </row>
    <row r="39" spans="2:2">
      <c r="B39" s="242"/>
    </row>
  </sheetData>
  <sheetProtection password="CF4C" sheet="1" objects="1" scenarios="1"/>
  <mergeCells count="12">
    <mergeCell ref="B2:H2"/>
    <mergeCell ref="B20:H20"/>
    <mergeCell ref="B4:B5"/>
    <mergeCell ref="C4:C5"/>
    <mergeCell ref="D4:D5"/>
    <mergeCell ref="E4:E5"/>
    <mergeCell ref="F4:F5"/>
    <mergeCell ref="G4:G5"/>
    <mergeCell ref="H4:H5"/>
    <mergeCell ref="B18:H18"/>
    <mergeCell ref="B19:H19"/>
    <mergeCell ref="B17:H17"/>
  </mergeCells>
  <printOptions horizontalCentered="1"/>
  <pageMargins left="0.19685039370078741" right="0.19685039370078741" top="0.59055118110236227" bottom="0.59055118110236227" header="0" footer="0.39370078740157483"/>
  <pageSetup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K40"/>
  <sheetViews>
    <sheetView showGridLines="0" zoomScaleNormal="100" workbookViewId="0">
      <selection activeCell="M14" sqref="M14"/>
    </sheetView>
  </sheetViews>
  <sheetFormatPr baseColWidth="10" defaultRowHeight="12.75"/>
  <cols>
    <col min="1" max="1" width="1.7109375" customWidth="1"/>
    <col min="2" max="2" width="9.5703125" bestFit="1" customWidth="1"/>
    <col min="3" max="3" width="14.7109375" customWidth="1"/>
    <col min="4" max="5" width="15.7109375" customWidth="1"/>
    <col min="6" max="6" width="16.7109375" customWidth="1"/>
    <col min="7" max="7" width="12.7109375" customWidth="1"/>
    <col min="8" max="8" width="17.7109375" customWidth="1"/>
    <col min="9" max="9" width="2" customWidth="1"/>
    <col min="10" max="10" width="9.7109375" customWidth="1"/>
    <col min="11" max="11" width="8.5703125" customWidth="1"/>
    <col min="12" max="12" width="8" bestFit="1" customWidth="1"/>
  </cols>
  <sheetData>
    <row r="1" spans="1:11" s="46" customFormat="1" ht="12" customHeight="1">
      <c r="A1" s="261"/>
      <c r="B1" s="259"/>
      <c r="C1" s="260"/>
      <c r="D1" s="260"/>
      <c r="E1" s="260"/>
      <c r="F1" s="260"/>
      <c r="G1" s="260"/>
      <c r="H1" s="260"/>
      <c r="I1" s="261"/>
    </row>
    <row r="2" spans="1:11" ht="27.75" customHeight="1">
      <c r="A2" s="263"/>
      <c r="B2" s="1098" t="s">
        <v>632</v>
      </c>
      <c r="C2" s="1098"/>
      <c r="D2" s="1098"/>
      <c r="E2" s="1098"/>
      <c r="F2" s="1098"/>
      <c r="G2" s="1098"/>
      <c r="H2" s="1131"/>
      <c r="I2" s="263"/>
    </row>
    <row r="3" spans="1:11" ht="15" customHeight="1" thickBot="1">
      <c r="A3" s="263"/>
      <c r="B3" s="412" t="s">
        <v>112</v>
      </c>
      <c r="C3" s="394"/>
      <c r="D3" s="394"/>
      <c r="E3" s="394"/>
      <c r="F3" s="394"/>
      <c r="G3" s="394"/>
      <c r="H3" s="393"/>
      <c r="I3" s="263"/>
    </row>
    <row r="4" spans="1:11" ht="21" customHeight="1">
      <c r="A4" s="263"/>
      <c r="B4" s="1117" t="s">
        <v>256</v>
      </c>
      <c r="C4" s="1117" t="s">
        <v>289</v>
      </c>
      <c r="D4" s="1117" t="s">
        <v>290</v>
      </c>
      <c r="E4" s="1117" t="s">
        <v>292</v>
      </c>
      <c r="F4" s="1117" t="s">
        <v>293</v>
      </c>
      <c r="G4" s="1117" t="s">
        <v>569</v>
      </c>
      <c r="H4" s="1129" t="s">
        <v>255</v>
      </c>
      <c r="I4" s="263"/>
    </row>
    <row r="5" spans="1:11" ht="21" customHeight="1" thickBot="1">
      <c r="A5" s="263"/>
      <c r="B5" s="1128"/>
      <c r="C5" s="1128"/>
      <c r="D5" s="1128"/>
      <c r="E5" s="1128"/>
      <c r="F5" s="1128"/>
      <c r="G5" s="1128"/>
      <c r="H5" s="1130"/>
      <c r="I5" s="263"/>
    </row>
    <row r="6" spans="1:11" ht="14.25" customHeight="1" thickBot="1">
      <c r="A6" s="263"/>
      <c r="B6" s="447">
        <v>2002</v>
      </c>
      <c r="C6" s="481">
        <v>3567.499684589603</v>
      </c>
      <c r="D6" s="481">
        <v>4041.5900523086689</v>
      </c>
      <c r="E6" s="481">
        <v>1531.5608709995095</v>
      </c>
      <c r="F6" s="481">
        <v>1196.7318633141717</v>
      </c>
      <c r="G6" s="481">
        <v>81.78095716</v>
      </c>
      <c r="H6" s="482">
        <v>10419.16342837195</v>
      </c>
      <c r="I6" s="263"/>
    </row>
    <row r="7" spans="1:11" ht="14.25" customHeight="1" thickBot="1">
      <c r="A7" s="263"/>
      <c r="B7" s="448">
        <v>2003</v>
      </c>
      <c r="C7" s="480">
        <v>5180.6465285935956</v>
      </c>
      <c r="D7" s="480">
        <v>4932.4922395030108</v>
      </c>
      <c r="E7" s="480">
        <v>1209.3019454248572</v>
      </c>
      <c r="F7" s="480">
        <v>935.21740497400026</v>
      </c>
      <c r="G7" s="480">
        <v>175.82480489999998</v>
      </c>
      <c r="H7" s="482">
        <v>12433.482923395464</v>
      </c>
      <c r="I7" s="263"/>
    </row>
    <row r="8" spans="1:11" ht="14.25" customHeight="1" thickBot="1">
      <c r="A8" s="263"/>
      <c r="B8" s="447">
        <v>2004</v>
      </c>
      <c r="C8" s="481">
        <v>5352.8321552772168</v>
      </c>
      <c r="D8" s="481">
        <v>5442.4767281186987</v>
      </c>
      <c r="E8" s="481">
        <v>1538.959612958851</v>
      </c>
      <c r="F8" s="481">
        <v>1084.3822482308544</v>
      </c>
      <c r="G8" s="481">
        <v>70.712758980000004</v>
      </c>
      <c r="H8" s="482">
        <v>13489.363503565623</v>
      </c>
      <c r="I8" s="263"/>
    </row>
    <row r="9" spans="1:11" ht="14.25" customHeight="1" thickBot="1">
      <c r="A9" s="263"/>
      <c r="B9" s="448">
        <v>2005</v>
      </c>
      <c r="C9" s="480">
        <v>8392.1632700761584</v>
      </c>
      <c r="D9" s="480">
        <v>8237.7925889673297</v>
      </c>
      <c r="E9" s="480">
        <v>3266.8239101321451</v>
      </c>
      <c r="F9" s="480">
        <v>1592.894726415135</v>
      </c>
      <c r="G9" s="480">
        <v>117.67391047999999</v>
      </c>
      <c r="H9" s="482">
        <v>21607.348406070771</v>
      </c>
      <c r="I9" s="263"/>
    </row>
    <row r="10" spans="1:11" ht="14.25" customHeight="1" thickBot="1">
      <c r="A10" s="263"/>
      <c r="B10" s="447">
        <v>2006</v>
      </c>
      <c r="C10" s="481">
        <v>5444.9999128572999</v>
      </c>
      <c r="D10" s="481">
        <v>5823.1506121260281</v>
      </c>
      <c r="E10" s="481">
        <v>1821.290848804</v>
      </c>
      <c r="F10" s="481">
        <v>2392.6745798936445</v>
      </c>
      <c r="G10" s="481">
        <v>246.40624896999998</v>
      </c>
      <c r="H10" s="482">
        <v>15728.522202650973</v>
      </c>
      <c r="I10" s="263"/>
    </row>
    <row r="11" spans="1:11" ht="14.25" customHeight="1" thickBot="1">
      <c r="A11" s="263"/>
      <c r="B11" s="448">
        <v>2007</v>
      </c>
      <c r="C11" s="480">
        <v>9345.3241789021522</v>
      </c>
      <c r="D11" s="480">
        <v>7420.6662937609199</v>
      </c>
      <c r="E11" s="480">
        <v>1735.242491288257</v>
      </c>
      <c r="F11" s="480">
        <v>2449.5213734631643</v>
      </c>
      <c r="G11" s="480">
        <v>566.63305248450013</v>
      </c>
      <c r="H11" s="482">
        <v>21517.387389898991</v>
      </c>
      <c r="I11" s="263"/>
    </row>
    <row r="12" spans="1:11" ht="14.25" customHeight="1" thickBot="1">
      <c r="A12" s="263"/>
      <c r="B12" s="447">
        <v>2008</v>
      </c>
      <c r="C12" s="481">
        <v>10497.04424730292</v>
      </c>
      <c r="D12" s="481">
        <v>9356.8875658086199</v>
      </c>
      <c r="E12" s="481">
        <v>2312.15971379136</v>
      </c>
      <c r="F12" s="481">
        <v>3050.1081333060824</v>
      </c>
      <c r="G12" s="481">
        <v>1103.6010911791827</v>
      </c>
      <c r="H12" s="482">
        <v>26319.800751388164</v>
      </c>
      <c r="I12" s="263"/>
    </row>
    <row r="13" spans="1:11" ht="14.25" customHeight="1" thickBot="1">
      <c r="A13" s="263"/>
      <c r="B13" s="440">
        <v>2009</v>
      </c>
      <c r="C13" s="483">
        <v>9960.8968044301491</v>
      </c>
      <c r="D13" s="483">
        <v>10847.924040782276</v>
      </c>
      <c r="E13" s="483">
        <v>2277.607960834293</v>
      </c>
      <c r="F13" s="483">
        <v>5427.6856541341867</v>
      </c>
      <c r="G13" s="483">
        <v>1732.8423615700001</v>
      </c>
      <c r="H13" s="482">
        <v>30246.956821750904</v>
      </c>
      <c r="I13" s="263"/>
      <c r="J13" s="57"/>
      <c r="K13" s="20"/>
    </row>
    <row r="14" spans="1:11" ht="26.25" customHeight="1">
      <c r="A14" s="263"/>
      <c r="B14" s="1097" t="s">
        <v>633</v>
      </c>
      <c r="C14" s="1112"/>
      <c r="D14" s="1112"/>
      <c r="E14" s="1112"/>
      <c r="F14" s="1112"/>
      <c r="G14" s="1112"/>
      <c r="H14" s="1127"/>
      <c r="I14" s="273"/>
    </row>
    <row r="15" spans="1:11" ht="15.75" customHeight="1">
      <c r="A15" s="263"/>
      <c r="B15" s="1097" t="s">
        <v>631</v>
      </c>
      <c r="C15" s="1112"/>
      <c r="D15" s="1112"/>
      <c r="E15" s="1112"/>
      <c r="F15" s="1112"/>
      <c r="G15" s="1112"/>
      <c r="H15" s="1127"/>
      <c r="I15" s="273"/>
      <c r="J15" s="2"/>
    </row>
    <row r="16" spans="1:11" ht="12" customHeight="1">
      <c r="A16" s="263"/>
      <c r="B16" s="1097" t="s">
        <v>277</v>
      </c>
      <c r="C16" s="1097"/>
      <c r="D16" s="1097"/>
      <c r="E16" s="1097"/>
      <c r="F16" s="1097"/>
      <c r="G16" s="1097"/>
      <c r="H16" s="1132"/>
      <c r="I16" s="273"/>
      <c r="J16" s="20"/>
    </row>
    <row r="17" spans="1:9" ht="12" customHeight="1">
      <c r="A17" s="263"/>
      <c r="B17" s="274"/>
      <c r="C17" s="274"/>
      <c r="D17" s="274"/>
      <c r="E17" s="274"/>
      <c r="F17" s="274"/>
      <c r="G17" s="274"/>
      <c r="H17" s="274"/>
      <c r="I17" s="273"/>
    </row>
    <row r="18" spans="1:9">
      <c r="B18" s="54"/>
      <c r="C18" s="54"/>
      <c r="D18" s="54"/>
      <c r="E18" s="54"/>
      <c r="F18" s="54"/>
      <c r="G18" s="54"/>
    </row>
    <row r="20" spans="1:9">
      <c r="B20" s="54"/>
      <c r="C20" s="55"/>
      <c r="D20" s="55"/>
      <c r="E20" s="55"/>
      <c r="F20" s="55"/>
      <c r="G20" s="55"/>
    </row>
    <row r="21" spans="1:9">
      <c r="B21" s="54"/>
      <c r="C21" s="55"/>
      <c r="D21" s="55"/>
      <c r="E21" s="55"/>
      <c r="F21" s="55"/>
      <c r="G21" s="55"/>
      <c r="H21" s="93"/>
    </row>
    <row r="22" spans="1:9">
      <c r="B22" s="237"/>
      <c r="C22" s="55"/>
      <c r="D22" s="55"/>
      <c r="E22" s="55"/>
      <c r="F22" s="55"/>
      <c r="G22" s="55"/>
      <c r="H22" s="55"/>
    </row>
    <row r="25" spans="1:9">
      <c r="B25" s="235"/>
    </row>
    <row r="33" spans="2:2">
      <c r="B33" s="235"/>
    </row>
    <row r="40" spans="2:2">
      <c r="B40" s="242"/>
    </row>
  </sheetData>
  <sheetProtection password="CF4C" sheet="1" objects="1" scenarios="1"/>
  <mergeCells count="11">
    <mergeCell ref="B2:H2"/>
    <mergeCell ref="B16:H16"/>
    <mergeCell ref="B4:B5"/>
    <mergeCell ref="C4:C5"/>
    <mergeCell ref="D4:D5"/>
    <mergeCell ref="E4:E5"/>
    <mergeCell ref="F4:F5"/>
    <mergeCell ref="G4:G5"/>
    <mergeCell ref="H4:H5"/>
    <mergeCell ref="B15:H15"/>
    <mergeCell ref="B14:H14"/>
  </mergeCells>
  <printOptions horizontalCentered="1"/>
  <pageMargins left="0.19685039370078741" right="0.19685039370078741" top="0.59055118110236227" bottom="0.59055118110236227" header="0" footer="0.39370078740157483"/>
  <pageSetup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6" enableFormatConditionsCalculation="0">
    <tabColor theme="9" tint="-0.249977111117893"/>
    <pageSetUpPr fitToPage="1"/>
  </sheetPr>
  <dimension ref="A1:M46"/>
  <sheetViews>
    <sheetView showGridLines="0" zoomScale="130" zoomScaleNormal="130" workbookViewId="0">
      <selection activeCell="M12" sqref="M12"/>
    </sheetView>
  </sheetViews>
  <sheetFormatPr baseColWidth="10" defaultRowHeight="12.75"/>
  <cols>
    <col min="1" max="1" width="1.7109375" customWidth="1"/>
    <col min="2" max="2" width="6.7109375" customWidth="1"/>
    <col min="3" max="3" width="26.7109375" customWidth="1"/>
    <col min="4" max="6" width="16.7109375" customWidth="1"/>
    <col min="7" max="7" width="13.85546875" customWidth="1"/>
    <col min="8" max="8" width="16.7109375" customWidth="1"/>
    <col min="9" max="10" width="1.7109375" customWidth="1"/>
    <col min="11" max="11" width="15.7109375" customWidth="1"/>
    <col min="12" max="13" width="6.28515625" bestFit="1" customWidth="1"/>
  </cols>
  <sheetData>
    <row r="1" spans="1:13" s="46" customFormat="1" ht="12" customHeight="1">
      <c r="A1" s="261"/>
      <c r="B1" s="259"/>
      <c r="C1" s="260"/>
      <c r="D1" s="260"/>
      <c r="E1" s="260"/>
      <c r="F1" s="260"/>
      <c r="G1" s="260"/>
      <c r="H1" s="260"/>
      <c r="I1" s="261"/>
    </row>
    <row r="2" spans="1:13" ht="18.75" customHeight="1">
      <c r="A2" s="263"/>
      <c r="B2" s="1098" t="s">
        <v>520</v>
      </c>
      <c r="C2" s="1098"/>
      <c r="D2" s="1098"/>
      <c r="E2" s="1098"/>
      <c r="F2" s="1098"/>
      <c r="G2" s="1098"/>
      <c r="H2" s="1133"/>
      <c r="I2" s="263"/>
    </row>
    <row r="3" spans="1:13" ht="15" customHeight="1" thickBot="1">
      <c r="A3" s="263"/>
      <c r="B3" s="412" t="s">
        <v>112</v>
      </c>
      <c r="C3" s="394"/>
      <c r="D3" s="394"/>
      <c r="E3" s="394"/>
      <c r="F3" s="394"/>
      <c r="G3" s="394"/>
      <c r="H3" s="393"/>
      <c r="I3" s="263"/>
    </row>
    <row r="4" spans="1:13" ht="32.25" thickBot="1">
      <c r="A4" s="263"/>
      <c r="B4" s="1134" t="s">
        <v>284</v>
      </c>
      <c r="C4" s="1135"/>
      <c r="D4" s="449" t="s">
        <v>280</v>
      </c>
      <c r="E4" s="449" t="s">
        <v>281</v>
      </c>
      <c r="F4" s="449" t="s">
        <v>282</v>
      </c>
      <c r="G4" s="450" t="s">
        <v>507</v>
      </c>
      <c r="H4" s="449" t="s">
        <v>255</v>
      </c>
      <c r="I4" s="263"/>
    </row>
    <row r="5" spans="1:13" ht="21" customHeight="1" thickBot="1">
      <c r="A5" s="263"/>
      <c r="B5" s="1134" t="s">
        <v>506</v>
      </c>
      <c r="C5" s="1135"/>
      <c r="D5" s="483">
        <v>12763.735986510001</v>
      </c>
      <c r="E5" s="483">
        <v>5054.9509058845224</v>
      </c>
      <c r="F5" s="483">
        <v>2947.9692713049999</v>
      </c>
      <c r="G5" s="483">
        <v>1806.0019639700001</v>
      </c>
      <c r="H5" s="482">
        <v>22572.658127669525</v>
      </c>
      <c r="I5" s="263"/>
    </row>
    <row r="6" spans="1:13" ht="26.25" thickBot="1">
      <c r="A6" s="263"/>
      <c r="B6" s="435"/>
      <c r="C6" s="442" t="s">
        <v>233</v>
      </c>
      <c r="D6" s="481">
        <v>5556.4374523400002</v>
      </c>
      <c r="E6" s="481">
        <v>4192.2205587950002</v>
      </c>
      <c r="F6" s="481">
        <v>1057.3181203049999</v>
      </c>
      <c r="G6" s="481">
        <v>333.22921779999996</v>
      </c>
      <c r="H6" s="482">
        <v>11139.205349240003</v>
      </c>
      <c r="I6" s="263"/>
      <c r="M6" s="20"/>
    </row>
    <row r="7" spans="1:13" ht="16.5" customHeight="1" thickBot="1">
      <c r="A7" s="263"/>
      <c r="B7" s="434"/>
      <c r="C7" s="443" t="s">
        <v>634</v>
      </c>
      <c r="D7" s="480">
        <v>2540.1065350000003</v>
      </c>
      <c r="E7" s="480">
        <v>0</v>
      </c>
      <c r="F7" s="480">
        <v>0</v>
      </c>
      <c r="G7" s="480">
        <v>18.472746000000001</v>
      </c>
      <c r="H7" s="482">
        <v>2558.5792810000003</v>
      </c>
      <c r="I7" s="263"/>
      <c r="M7" s="20"/>
    </row>
    <row r="8" spans="1:13" ht="15" customHeight="1" thickBot="1">
      <c r="A8" s="263"/>
      <c r="B8" s="435"/>
      <c r="C8" s="442" t="s">
        <v>99</v>
      </c>
      <c r="D8" s="481">
        <v>1890.651151</v>
      </c>
      <c r="E8" s="481">
        <v>0</v>
      </c>
      <c r="F8" s="481">
        <v>1890.651151</v>
      </c>
      <c r="G8" s="481"/>
      <c r="H8" s="482">
        <v>3781.3023020000001</v>
      </c>
      <c r="I8" s="263"/>
      <c r="M8" s="20"/>
    </row>
    <row r="9" spans="1:13" ht="15" customHeight="1" thickBot="1">
      <c r="A9" s="263"/>
      <c r="B9" s="434"/>
      <c r="C9" s="443" t="s">
        <v>100</v>
      </c>
      <c r="D9" s="480">
        <v>37.356899340000005</v>
      </c>
      <c r="E9" s="480">
        <v>38.921736179999996</v>
      </c>
      <c r="F9" s="480">
        <v>0</v>
      </c>
      <c r="G9" s="480">
        <v>0</v>
      </c>
      <c r="H9" s="482">
        <v>76.278635519999995</v>
      </c>
      <c r="I9" s="263"/>
      <c r="M9" s="20"/>
    </row>
    <row r="10" spans="1:13" ht="17.25" customHeight="1" thickBot="1">
      <c r="A10" s="263"/>
      <c r="B10" s="435"/>
      <c r="C10" s="442" t="s">
        <v>635</v>
      </c>
      <c r="D10" s="481">
        <v>2135.5139487499996</v>
      </c>
      <c r="E10" s="481">
        <v>823.80861090952192</v>
      </c>
      <c r="F10" s="481">
        <v>0</v>
      </c>
      <c r="G10" s="481">
        <v>0</v>
      </c>
      <c r="H10" s="482">
        <v>2959.3225596595216</v>
      </c>
      <c r="I10" s="263"/>
      <c r="M10" s="20"/>
    </row>
    <row r="11" spans="1:13" ht="15" customHeight="1" thickBot="1">
      <c r="A11" s="263"/>
      <c r="B11" s="434"/>
      <c r="C11" s="443" t="s">
        <v>636</v>
      </c>
      <c r="D11" s="480">
        <v>603.67000007999991</v>
      </c>
      <c r="E11" s="480">
        <v>0</v>
      </c>
      <c r="F11" s="480">
        <v>0</v>
      </c>
      <c r="G11" s="480">
        <v>1454.3000001700002</v>
      </c>
      <c r="H11" s="482">
        <v>2057.9700002500003</v>
      </c>
      <c r="I11" s="263"/>
      <c r="M11" s="20"/>
    </row>
    <row r="12" spans="1:13" ht="21" customHeight="1" thickBot="1">
      <c r="A12" s="263"/>
      <c r="B12" s="1134" t="s">
        <v>286</v>
      </c>
      <c r="C12" s="1135"/>
      <c r="D12" s="483">
        <v>2051.5436565359996</v>
      </c>
      <c r="E12" s="483">
        <v>541.34132144541502</v>
      </c>
      <c r="F12" s="483">
        <v>694.60938054050007</v>
      </c>
      <c r="G12" s="483">
        <v>4386.8043355594664</v>
      </c>
      <c r="H12" s="482">
        <v>7674.2986940813807</v>
      </c>
      <c r="I12" s="263"/>
    </row>
    <row r="13" spans="1:13" ht="15" customHeight="1" thickBot="1">
      <c r="A13" s="263"/>
      <c r="B13" s="435"/>
      <c r="C13" s="442" t="s">
        <v>105</v>
      </c>
      <c r="D13" s="481">
        <v>1531.7605788199996</v>
      </c>
      <c r="E13" s="481">
        <v>305.64862739</v>
      </c>
      <c r="F13" s="481">
        <v>633.09894514000007</v>
      </c>
      <c r="G13" s="481">
        <v>59.541622120000007</v>
      </c>
      <c r="H13" s="482">
        <v>2530.0497734699998</v>
      </c>
      <c r="I13" s="263"/>
    </row>
    <row r="14" spans="1:13" ht="15" customHeight="1" thickBot="1">
      <c r="A14" s="263"/>
      <c r="B14" s="434"/>
      <c r="C14" s="443" t="s">
        <v>215</v>
      </c>
      <c r="D14" s="480">
        <v>0</v>
      </c>
      <c r="E14" s="480">
        <v>0</v>
      </c>
      <c r="F14" s="480">
        <v>0</v>
      </c>
      <c r="G14" s="480">
        <v>4320.3502227994659</v>
      </c>
      <c r="H14" s="482">
        <v>4320.3502227994659</v>
      </c>
      <c r="I14" s="263"/>
    </row>
    <row r="15" spans="1:13" ht="13.5" customHeight="1" thickBot="1">
      <c r="A15" s="263"/>
      <c r="B15" s="435"/>
      <c r="C15" s="442" t="s">
        <v>214</v>
      </c>
      <c r="D15" s="481">
        <v>519.78307771600009</v>
      </c>
      <c r="E15" s="481">
        <v>235.69269405541499</v>
      </c>
      <c r="F15" s="481">
        <v>61.510435400500015</v>
      </c>
      <c r="G15" s="481">
        <v>6.9124906399999997</v>
      </c>
      <c r="H15" s="482">
        <v>823.8986978119151</v>
      </c>
      <c r="I15" s="263"/>
    </row>
    <row r="16" spans="1:13" s="5" customFormat="1" ht="21" customHeight="1" thickBot="1">
      <c r="A16" s="264"/>
      <c r="B16" s="451"/>
      <c r="C16" s="452" t="s">
        <v>54</v>
      </c>
      <c r="D16" s="483">
        <v>14815.279643046</v>
      </c>
      <c r="E16" s="483">
        <v>5596.2922273299373</v>
      </c>
      <c r="F16" s="483">
        <v>3642.5786518454997</v>
      </c>
      <c r="G16" s="483">
        <v>6192.8062995294667</v>
      </c>
      <c r="H16" s="482">
        <v>30246.956821750908</v>
      </c>
      <c r="I16" s="264"/>
      <c r="K16"/>
      <c r="L16"/>
    </row>
    <row r="17" spans="1:12" ht="14.25" customHeight="1">
      <c r="A17" s="263"/>
      <c r="B17" s="1097" t="s">
        <v>637</v>
      </c>
      <c r="C17" s="1112"/>
      <c r="D17" s="1112"/>
      <c r="E17" s="1112"/>
      <c r="F17" s="1112"/>
      <c r="G17" s="1112"/>
      <c r="H17" s="1127"/>
      <c r="I17" s="276"/>
      <c r="J17" s="186"/>
    </row>
    <row r="18" spans="1:12" ht="15" customHeight="1">
      <c r="A18" s="263"/>
      <c r="B18" s="1097" t="s">
        <v>638</v>
      </c>
      <c r="C18" s="1112"/>
      <c r="D18" s="1112"/>
      <c r="E18" s="1112"/>
      <c r="F18" s="1112"/>
      <c r="G18" s="1112"/>
      <c r="H18" s="1127"/>
      <c r="I18" s="276"/>
      <c r="J18" s="186"/>
    </row>
    <row r="19" spans="1:12" ht="10.5" customHeight="1">
      <c r="A19" s="263"/>
      <c r="B19" s="1097" t="s">
        <v>294</v>
      </c>
      <c r="C19" s="1097"/>
      <c r="D19" s="1097"/>
      <c r="E19" s="1097"/>
      <c r="F19" s="1097"/>
      <c r="G19" s="1097"/>
      <c r="H19" s="1127"/>
      <c r="I19" s="276"/>
      <c r="J19" s="186"/>
    </row>
    <row r="20" spans="1:12" ht="12" customHeight="1">
      <c r="A20" s="263"/>
      <c r="B20" s="1096"/>
      <c r="C20" s="1096"/>
      <c r="D20" s="1096"/>
      <c r="E20" s="1096"/>
      <c r="F20" s="1096"/>
      <c r="G20" s="1096"/>
      <c r="H20" s="401"/>
      <c r="I20" s="273"/>
      <c r="J20" s="10"/>
    </row>
    <row r="21" spans="1:12" ht="6" customHeight="1">
      <c r="A21" s="263"/>
      <c r="B21" s="277"/>
      <c r="C21" s="278"/>
      <c r="D21" s="279"/>
      <c r="E21" s="279"/>
      <c r="F21" s="279"/>
      <c r="G21" s="279"/>
      <c r="H21" s="279"/>
      <c r="I21" s="279"/>
      <c r="J21" s="14"/>
      <c r="L21" s="15"/>
    </row>
    <row r="24" spans="1:12">
      <c r="D24" s="183"/>
    </row>
    <row r="28" spans="1:12">
      <c r="B28" s="237"/>
    </row>
    <row r="31" spans="1:12">
      <c r="B31" s="235"/>
    </row>
    <row r="39" spans="2:2">
      <c r="B39" s="235"/>
    </row>
    <row r="46" spans="2:2">
      <c r="B46" s="242"/>
    </row>
  </sheetData>
  <sheetProtection password="CF4C" sheet="1" objects="1" scenarios="1"/>
  <customSheetViews>
    <customSheetView guid="{E9B43C8C-734F-433D-AD37-344F9303B5CC}" showPageBreaks="1" showGridLines="0" showRuler="0" topLeftCell="A11">
      <selection activeCell="F26" sqref="F26"/>
      <pageMargins left="0.19685039370078741" right="0.19685039370078741" top="0.59055118110236227" bottom="0.59055118110236227" header="0.39370078740157483" footer="0.39370078740157483"/>
      <printOptions horizontalCentered="1"/>
      <pageSetup orientation="landscape" r:id="rId1"/>
      <headerFooter alignWithMargins="0"/>
    </customSheetView>
    <customSheetView guid="{9BF398E0-33D8-4E64-94A2-9B7C822C8383}" showPageBreaks="1" showGridLines="0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landscape" r:id="rId2"/>
      <headerFooter alignWithMargins="0"/>
    </customSheetView>
    <customSheetView guid="{6DCFE324-2DF9-4BB0-88BD-A4AD316C7A9E}" showGridLines="0" hiddenRows="1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landscape" r:id="rId3"/>
      <headerFooter alignWithMargins="0"/>
    </customSheetView>
    <customSheetView guid="{48A744A8-8180-4A3B-8108-49EF41816969}" showGridLines="0" hiddenRows="1" showRuler="0">
      <selection activeCell="B25" sqref="B25:G25"/>
      <pageMargins left="0.19685039370078741" right="0.19685039370078741" top="0.59055118110236227" bottom="0.59055118110236227" header="0.39370078740157483" footer="0.39370078740157483"/>
      <printOptions horizontalCentered="1"/>
      <pageSetup orientation="landscape" r:id="rId4"/>
      <headerFooter alignWithMargins="0"/>
    </customSheetView>
    <customSheetView guid="{9E220BD5-A526-40BD-8239-3A0461590922}" showGridLines="0" showRuler="0">
      <selection activeCell="C25" sqref="C25"/>
      <pageMargins left="0.19685039370078741" right="0.19685039370078741" top="0.59055118110236227" bottom="0.59055118110236227" header="0.39370078740157483" footer="0.39370078740157483"/>
      <printOptions horizontalCentered="1"/>
      <pageSetup orientation="landscape" r:id="rId5"/>
      <headerFooter alignWithMargins="0"/>
    </customSheetView>
  </customSheetViews>
  <mergeCells count="8">
    <mergeCell ref="B20:G20"/>
    <mergeCell ref="B2:H2"/>
    <mergeCell ref="B4:C4"/>
    <mergeCell ref="B5:C5"/>
    <mergeCell ref="B12:C12"/>
    <mergeCell ref="B17:H17"/>
    <mergeCell ref="B18:H18"/>
    <mergeCell ref="B19:H19"/>
  </mergeCells>
  <phoneticPr fontId="9" type="noConversion"/>
  <printOptions horizontalCentered="1"/>
  <pageMargins left="0.19685039370078741" right="0.19685039370078741" top="0.59055118110236227" bottom="0.59055118110236227" header="0.39370078740157483" footer="0.39370078740157483"/>
  <pageSetup orientation="landscape" r:id="rId6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 enableFormatConditionsCalculation="0">
    <tabColor theme="9" tint="-0.249977111117893"/>
    <pageSetUpPr fitToPage="1"/>
  </sheetPr>
  <dimension ref="A1:K28"/>
  <sheetViews>
    <sheetView showGridLines="0" workbookViewId="0">
      <selection activeCell="H20" sqref="H20"/>
    </sheetView>
  </sheetViews>
  <sheetFormatPr baseColWidth="10" defaultRowHeight="12.75"/>
  <cols>
    <col min="1" max="1" width="1.7109375" customWidth="1"/>
    <col min="2" max="2" width="6.7109375" customWidth="1"/>
    <col min="3" max="3" width="26.7109375" customWidth="1"/>
    <col min="4" max="7" width="16.7109375" customWidth="1"/>
    <col min="8" max="8" width="12.7109375" customWidth="1"/>
    <col min="9" max="9" width="16.7109375" customWidth="1"/>
    <col min="10" max="10" width="1.7109375" customWidth="1"/>
    <col min="11" max="11" width="5.7109375" customWidth="1"/>
    <col min="12" max="12" width="12" bestFit="1" customWidth="1"/>
  </cols>
  <sheetData>
    <row r="1" spans="1:11" s="46" customFormat="1" ht="12" customHeight="1">
      <c r="A1" s="261"/>
      <c r="B1" s="259"/>
      <c r="C1" s="260"/>
      <c r="D1" s="260"/>
      <c r="E1" s="260"/>
      <c r="F1" s="260"/>
      <c r="G1" s="260"/>
      <c r="H1" s="260"/>
      <c r="I1" s="260"/>
      <c r="J1" s="261"/>
    </row>
    <row r="2" spans="1:11" ht="15.75" customHeight="1">
      <c r="A2" s="263"/>
      <c r="B2" s="1136" t="s">
        <v>521</v>
      </c>
      <c r="C2" s="1136"/>
      <c r="D2" s="1136"/>
      <c r="E2" s="1136"/>
      <c r="F2" s="1136"/>
      <c r="G2" s="1136"/>
      <c r="H2" s="1136"/>
      <c r="I2" s="1136"/>
      <c r="J2" s="263"/>
    </row>
    <row r="3" spans="1:11" ht="15" customHeight="1" thickBot="1">
      <c r="A3" s="263"/>
      <c r="B3" s="419" t="s">
        <v>112</v>
      </c>
      <c r="C3" s="420"/>
      <c r="D3" s="420"/>
      <c r="E3" s="420"/>
      <c r="F3" s="419"/>
      <c r="G3" s="420"/>
      <c r="H3" s="420"/>
      <c r="I3" s="420"/>
      <c r="J3" s="263"/>
    </row>
    <row r="4" spans="1:11" ht="30" customHeight="1" thickBot="1">
      <c r="A4" s="263"/>
      <c r="B4" s="1124" t="s">
        <v>284</v>
      </c>
      <c r="C4" s="1124"/>
      <c r="D4" s="453" t="s">
        <v>289</v>
      </c>
      <c r="E4" s="453" t="s">
        <v>290</v>
      </c>
      <c r="F4" s="453" t="s">
        <v>292</v>
      </c>
      <c r="G4" s="453" t="s">
        <v>293</v>
      </c>
      <c r="H4" s="993" t="s">
        <v>601</v>
      </c>
      <c r="I4" s="453" t="s">
        <v>255</v>
      </c>
      <c r="J4" s="263"/>
    </row>
    <row r="5" spans="1:11" ht="21" customHeight="1" thickBot="1">
      <c r="A5" s="263"/>
      <c r="B5" s="1138" t="s">
        <v>285</v>
      </c>
      <c r="C5" s="1139"/>
      <c r="D5" s="482">
        <v>6645.6777173354112</v>
      </c>
      <c r="E5" s="482">
        <v>6878.1093462645022</v>
      </c>
      <c r="F5" s="482">
        <v>2007.3912310554231</v>
      </c>
      <c r="G5" s="482">
        <v>5419.2116241341873</v>
      </c>
      <c r="H5" s="482">
        <v>1622.26820888</v>
      </c>
      <c r="I5" s="482">
        <v>22572.658127669521</v>
      </c>
      <c r="J5" s="275"/>
      <c r="K5" s="18"/>
    </row>
    <row r="6" spans="1:11" ht="26.25" customHeight="1" thickBot="1">
      <c r="A6" s="263"/>
      <c r="B6" s="436"/>
      <c r="C6" s="454" t="s">
        <v>295</v>
      </c>
      <c r="D6" s="481">
        <v>2994.2262346100001</v>
      </c>
      <c r="E6" s="481">
        <v>2802.4322808399997</v>
      </c>
      <c r="F6" s="481">
        <v>1118.42637881</v>
      </c>
      <c r="G6" s="481">
        <v>2601.8522461000002</v>
      </c>
      <c r="H6" s="481">
        <v>1622.26820888</v>
      </c>
      <c r="I6" s="482">
        <v>11139.205349239999</v>
      </c>
      <c r="J6" s="263"/>
    </row>
    <row r="7" spans="1:11" ht="18" customHeight="1" thickBot="1">
      <c r="A7" s="263"/>
      <c r="B7" s="437"/>
      <c r="C7" s="437" t="s">
        <v>605</v>
      </c>
      <c r="D7" s="480">
        <v>0</v>
      </c>
      <c r="E7" s="480">
        <v>2537.558399</v>
      </c>
      <c r="F7" s="480">
        <v>21.020882</v>
      </c>
      <c r="G7" s="480">
        <v>0</v>
      </c>
      <c r="H7" s="480">
        <v>0</v>
      </c>
      <c r="I7" s="482">
        <v>2558.5792809999998</v>
      </c>
      <c r="J7" s="263"/>
    </row>
    <row r="8" spans="1:11" ht="15" customHeight="1" thickBot="1">
      <c r="A8" s="263"/>
      <c r="B8" s="436"/>
      <c r="C8" s="436" t="s">
        <v>296</v>
      </c>
      <c r="D8" s="481">
        <v>335.19866204188185</v>
      </c>
      <c r="E8" s="481">
        <v>368.35029192850885</v>
      </c>
      <c r="F8" s="481">
        <v>260.39396999542316</v>
      </c>
      <c r="G8" s="481">
        <v>2817.3593780341871</v>
      </c>
      <c r="H8" s="481">
        <v>0</v>
      </c>
      <c r="I8" s="482">
        <v>3781.302302000001</v>
      </c>
      <c r="J8" s="263"/>
    </row>
    <row r="9" spans="1:11" ht="15" customHeight="1" thickBot="1">
      <c r="A9" s="263"/>
      <c r="B9" s="437"/>
      <c r="C9" s="437" t="s">
        <v>297</v>
      </c>
      <c r="D9" s="480">
        <v>76.278635519999995</v>
      </c>
      <c r="E9" s="480">
        <v>0</v>
      </c>
      <c r="F9" s="480">
        <v>0</v>
      </c>
      <c r="G9" s="480">
        <v>0</v>
      </c>
      <c r="H9" s="480">
        <v>0</v>
      </c>
      <c r="I9" s="482">
        <v>76.278635519999995</v>
      </c>
      <c r="J9" s="263"/>
    </row>
    <row r="10" spans="1:11" ht="15" customHeight="1" thickBot="1">
      <c r="A10" s="263"/>
      <c r="B10" s="436"/>
      <c r="C10" s="436" t="s">
        <v>190</v>
      </c>
      <c r="D10" s="481">
        <v>1789.5541851635287</v>
      </c>
      <c r="E10" s="481">
        <v>1169.7683744959936</v>
      </c>
      <c r="F10" s="481">
        <v>0</v>
      </c>
      <c r="G10" s="481">
        <v>0</v>
      </c>
      <c r="H10" s="481">
        <v>0</v>
      </c>
      <c r="I10" s="482">
        <v>2959.3225596595221</v>
      </c>
      <c r="J10" s="263"/>
    </row>
    <row r="11" spans="1:11" ht="15" customHeight="1" thickBot="1">
      <c r="A11" s="263"/>
      <c r="B11" s="437"/>
      <c r="C11" s="437" t="s">
        <v>191</v>
      </c>
      <c r="D11" s="480">
        <v>1450.42</v>
      </c>
      <c r="E11" s="480">
        <v>0</v>
      </c>
      <c r="F11" s="480">
        <v>607.55000025000004</v>
      </c>
      <c r="G11" s="480">
        <v>0</v>
      </c>
      <c r="H11" s="480">
        <v>0</v>
      </c>
      <c r="I11" s="482">
        <v>2057.9700002500003</v>
      </c>
      <c r="J11" s="263"/>
    </row>
    <row r="12" spans="1:11" ht="21" customHeight="1" thickBot="1">
      <c r="A12" s="263"/>
      <c r="B12" s="1138" t="s">
        <v>286</v>
      </c>
      <c r="C12" s="1139"/>
      <c r="D12" s="482">
        <v>3315.2190870947397</v>
      </c>
      <c r="E12" s="482">
        <v>3969.8146945177732</v>
      </c>
      <c r="F12" s="482">
        <v>270.21672977887005</v>
      </c>
      <c r="G12" s="482">
        <v>8.4740300000000008</v>
      </c>
      <c r="H12" s="482">
        <v>110.57415269000002</v>
      </c>
      <c r="I12" s="482">
        <v>7674.2986940813826</v>
      </c>
      <c r="J12" s="263"/>
    </row>
    <row r="13" spans="1:11" ht="15" customHeight="1" thickBot="1">
      <c r="A13" s="263"/>
      <c r="B13" s="436"/>
      <c r="C13" s="436" t="s">
        <v>105</v>
      </c>
      <c r="D13" s="481">
        <v>1078.9654538899999</v>
      </c>
      <c r="E13" s="481">
        <v>1090.6573874300002</v>
      </c>
      <c r="F13" s="481">
        <v>241.37874946000002</v>
      </c>
      <c r="G13" s="481">
        <v>8.4740300000000008</v>
      </c>
      <c r="H13" s="481">
        <v>110.57415269000002</v>
      </c>
      <c r="I13" s="482">
        <v>2530.0497734700002</v>
      </c>
      <c r="J13" s="263"/>
    </row>
    <row r="14" spans="1:11" ht="15" customHeight="1" thickBot="1">
      <c r="A14" s="263"/>
      <c r="B14" s="437"/>
      <c r="C14" s="437" t="s">
        <v>215</v>
      </c>
      <c r="D14" s="480">
        <v>1800.1459261664443</v>
      </c>
      <c r="E14" s="480">
        <v>2520.2042966330232</v>
      </c>
      <c r="F14" s="480">
        <v>0</v>
      </c>
      <c r="G14" s="480">
        <v>0</v>
      </c>
      <c r="H14" s="480">
        <v>0</v>
      </c>
      <c r="I14" s="482">
        <v>4320.3502227994677</v>
      </c>
      <c r="J14" s="263"/>
    </row>
    <row r="15" spans="1:11" ht="12.75" customHeight="1" thickBot="1">
      <c r="A15" s="263"/>
      <c r="B15" s="436"/>
      <c r="C15" s="436" t="s">
        <v>214</v>
      </c>
      <c r="D15" s="481">
        <v>436.10770703829508</v>
      </c>
      <c r="E15" s="481">
        <v>358.95301045474991</v>
      </c>
      <c r="F15" s="481">
        <v>28.837980318869999</v>
      </c>
      <c r="G15" s="481">
        <v>0</v>
      </c>
      <c r="H15" s="481">
        <v>0</v>
      </c>
      <c r="I15" s="482">
        <v>823.89869781191499</v>
      </c>
      <c r="J15" s="263"/>
    </row>
    <row r="16" spans="1:11" s="5" customFormat="1" ht="21" customHeight="1" thickBot="1">
      <c r="A16" s="264"/>
      <c r="B16" s="455"/>
      <c r="C16" s="456" t="s">
        <v>54</v>
      </c>
      <c r="D16" s="482">
        <v>9960.896804430151</v>
      </c>
      <c r="E16" s="482">
        <v>10847.924040782276</v>
      </c>
      <c r="F16" s="482">
        <v>2277.607960834293</v>
      </c>
      <c r="G16" s="482">
        <v>5427.6856541341876</v>
      </c>
      <c r="H16" s="482">
        <v>1732.8423615700001</v>
      </c>
      <c r="I16" s="482">
        <v>30246.956821750904</v>
      </c>
      <c r="J16" s="264"/>
    </row>
    <row r="17" spans="1:10" s="5" customFormat="1" ht="16.5" customHeight="1">
      <c r="A17" s="400"/>
      <c r="B17" s="1137" t="s">
        <v>606</v>
      </c>
      <c r="C17" s="1137"/>
      <c r="D17" s="1137"/>
      <c r="E17" s="1137"/>
      <c r="F17" s="1137"/>
      <c r="G17" s="1137"/>
      <c r="H17" s="1137"/>
      <c r="I17" s="1137"/>
      <c r="J17" s="272"/>
    </row>
    <row r="18" spans="1:10" s="5" customFormat="1" ht="18.75" customHeight="1">
      <c r="A18" s="264"/>
      <c r="B18" s="1119" t="s">
        <v>607</v>
      </c>
      <c r="C18" s="1120"/>
      <c r="D18" s="1120"/>
      <c r="E18" s="1120"/>
      <c r="F18" s="1120"/>
      <c r="G18" s="1120"/>
      <c r="H18" s="1120"/>
      <c r="I18" s="1120"/>
      <c r="J18" s="272"/>
    </row>
    <row r="19" spans="1:10" s="5" customFormat="1" ht="13.5" customHeight="1">
      <c r="A19" s="264"/>
      <c r="B19" s="465" t="s">
        <v>294</v>
      </c>
      <c r="C19" s="280"/>
      <c r="D19" s="280"/>
      <c r="E19" s="280"/>
      <c r="F19" s="280"/>
      <c r="G19" s="280"/>
      <c r="H19" s="280"/>
      <c r="I19" s="280"/>
      <c r="J19" s="272"/>
    </row>
    <row r="20" spans="1:10" ht="9" customHeight="1">
      <c r="A20" s="263"/>
      <c r="C20" s="281"/>
      <c r="D20" s="707"/>
      <c r="E20" s="281"/>
      <c r="F20" s="281"/>
      <c r="G20" s="281"/>
      <c r="H20" s="281"/>
      <c r="I20" s="281"/>
      <c r="J20" s="273"/>
    </row>
    <row r="21" spans="1:10" ht="9" customHeight="1">
      <c r="A21" s="263"/>
      <c r="B21" s="282"/>
      <c r="C21" s="273"/>
      <c r="D21" s="273"/>
      <c r="E21" s="273"/>
      <c r="F21" s="283"/>
      <c r="G21" s="283"/>
      <c r="H21" s="283"/>
      <c r="I21" s="283"/>
      <c r="J21" s="273"/>
    </row>
    <row r="22" spans="1:10">
      <c r="B22" s="12"/>
      <c r="C22" s="12"/>
      <c r="D22" s="14"/>
      <c r="E22" s="14"/>
      <c r="F22" s="14"/>
      <c r="G22" s="14"/>
      <c r="H22" s="14"/>
      <c r="I22" s="14"/>
    </row>
    <row r="23" spans="1:10">
      <c r="B23" s="12"/>
      <c r="C23" s="12"/>
      <c r="D23" s="13"/>
      <c r="E23" s="13"/>
      <c r="F23" s="13"/>
      <c r="G23" s="13"/>
      <c r="H23" s="13"/>
      <c r="I23" s="13"/>
    </row>
    <row r="24" spans="1:10">
      <c r="B24" s="28"/>
      <c r="C24" s="10"/>
      <c r="D24" s="184"/>
      <c r="E24" s="10"/>
      <c r="F24" s="30"/>
      <c r="G24" s="30"/>
      <c r="H24" s="30"/>
      <c r="I24" s="30"/>
      <c r="J24" s="10"/>
    </row>
    <row r="25" spans="1:10">
      <c r="B25" s="12"/>
      <c r="C25" s="12"/>
      <c r="D25" s="14"/>
      <c r="E25" s="14"/>
      <c r="F25" s="14"/>
      <c r="G25" s="14"/>
      <c r="H25" s="14"/>
      <c r="I25" s="14"/>
    </row>
    <row r="26" spans="1:10">
      <c r="B26" s="12"/>
      <c r="C26" s="12"/>
      <c r="D26" s="13"/>
      <c r="E26" s="13"/>
      <c r="F26" s="13"/>
      <c r="G26" s="13"/>
      <c r="H26" s="13"/>
      <c r="I26" s="13"/>
    </row>
    <row r="27" spans="1:10">
      <c r="B27" s="12"/>
      <c r="C27" s="12"/>
      <c r="D27" s="13"/>
      <c r="E27" s="13"/>
      <c r="F27" s="13"/>
      <c r="G27" s="13"/>
      <c r="H27" s="13"/>
      <c r="I27" s="13"/>
    </row>
    <row r="28" spans="1:10">
      <c r="D28" s="3"/>
      <c r="E28" s="3"/>
      <c r="F28" s="3"/>
      <c r="G28" s="3"/>
      <c r="H28" s="3"/>
      <c r="I28" s="11"/>
    </row>
  </sheetData>
  <sheetProtection password="CF4C" sheet="1" objects="1" scenarios="1"/>
  <customSheetViews>
    <customSheetView guid="{E9B43C8C-734F-433D-AD37-344F9303B5CC}" showPageBreaks="1" showGridLines="0" showRuler="0" topLeftCell="A13">
      <selection activeCell="F29" sqref="F29"/>
      <pageMargins left="0.19685039370078741" right="0.19685039370078741" top="0.59055118110236227" bottom="0.59055118110236227" header="0.39370078740157483" footer="0.39370078740157483"/>
      <printOptions horizontalCentered="1"/>
      <pageSetup scale="90" orientation="landscape" r:id="rId1"/>
      <headerFooter alignWithMargins="0"/>
    </customSheetView>
    <customSheetView guid="{9BF398E0-33D8-4E64-94A2-9B7C822C8383}" showPageBreaks="1" showGridLines="0" showRuler="0">
      <pageMargins left="0.19685039370078741" right="0.19685039370078741" top="0.59055118110236227" bottom="0.59055118110236227" header="0.39370078740157483" footer="0.39370078740157483"/>
      <printOptions horizontalCentered="1"/>
      <pageSetup scale="90" orientation="landscape" r:id="rId2"/>
      <headerFooter alignWithMargins="0"/>
    </customSheetView>
    <customSheetView guid="{6DCFE324-2DF9-4BB0-88BD-A4AD316C7A9E}" showGridLines="0" hiddenRows="1" hiddenColumns="1" showRuler="0">
      <pageMargins left="0.19685039370078741" right="0.19685039370078741" top="0.59055118110236227" bottom="0.59055118110236227" header="0.39370078740157483" footer="0.39370078740157483"/>
      <printOptions horizontalCentered="1"/>
      <pageSetup scale="90" orientation="landscape" r:id="rId3"/>
      <headerFooter alignWithMargins="0"/>
    </customSheetView>
    <customSheetView guid="{48A744A8-8180-4A3B-8108-49EF41816969}" showGridLines="0" hiddenRows="1" showRuler="0">
      <selection activeCell="B23" sqref="B23:I23"/>
      <pageMargins left="0.19685039370078741" right="0.19685039370078741" top="0.59055118110236227" bottom="0.59055118110236227" header="0.39370078740157483" footer="0.39370078740157483"/>
      <printOptions horizontalCentered="1"/>
      <pageSetup scale="90" orientation="landscape" r:id="rId4"/>
      <headerFooter alignWithMargins="0"/>
    </customSheetView>
    <customSheetView guid="{9E220BD5-A526-40BD-8239-3A0461590922}" showGridLines="0" showRuler="0">
      <selection activeCell="B2" sqref="B2:I2"/>
      <pageMargins left="0.19685039370078741" right="0.19685039370078741" top="0.59055118110236227" bottom="0.59055118110236227" header="0.39370078740157483" footer="0.39370078740157483"/>
      <printOptions horizontalCentered="1"/>
      <pageSetup scale="90" orientation="landscape" r:id="rId5"/>
      <headerFooter alignWithMargins="0"/>
    </customSheetView>
  </customSheetViews>
  <mergeCells count="6">
    <mergeCell ref="B18:I18"/>
    <mergeCell ref="B2:I2"/>
    <mergeCell ref="B17:I17"/>
    <mergeCell ref="B4:C4"/>
    <mergeCell ref="B5:C5"/>
    <mergeCell ref="B12:C12"/>
  </mergeCells>
  <phoneticPr fontId="9" type="noConversion"/>
  <printOptions horizontalCentered="1"/>
  <pageMargins left="0.19685039370078741" right="0.19685039370078741" top="0.59055118110236227" bottom="0.59055118110236227" header="0.39370078740157483" footer="0.39370078740157483"/>
  <pageSetup orientation="landscape" r:id="rId6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B1:N48"/>
  <sheetViews>
    <sheetView showGridLines="0" topLeftCell="A13" zoomScaleNormal="100" workbookViewId="0">
      <pane ySplit="1" topLeftCell="A14" activePane="bottomLeft" state="frozen"/>
      <selection activeCell="A13" sqref="A13"/>
      <selection pane="bottomLeft" activeCell="G23" sqref="G23"/>
    </sheetView>
  </sheetViews>
  <sheetFormatPr baseColWidth="10" defaultRowHeight="12.75"/>
  <cols>
    <col min="1" max="1" width="4.5703125" style="361" customWidth="1"/>
    <col min="2" max="2" width="48.7109375" style="361" bestFit="1" customWidth="1"/>
    <col min="3" max="3" width="14.28515625" style="361" bestFit="1" customWidth="1"/>
    <col min="4" max="4" width="11.5703125" style="361" bestFit="1" customWidth="1"/>
    <col min="5" max="5" width="17.140625" style="361" customWidth="1"/>
    <col min="6" max="6" width="11.42578125" style="361"/>
    <col min="7" max="7" width="11.5703125" style="361" bestFit="1" customWidth="1"/>
    <col min="8" max="8" width="11.42578125" style="361"/>
    <col min="9" max="9" width="4.5703125" style="361" customWidth="1"/>
    <col min="10" max="10" width="11.42578125" style="361"/>
    <col min="11" max="11" width="2.7109375" style="361" customWidth="1"/>
    <col min="12" max="12" width="38.42578125" style="361" customWidth="1"/>
    <col min="13" max="13" width="14.85546875" style="361" customWidth="1"/>
    <col min="14" max="14" width="14.140625" style="361" customWidth="1"/>
    <col min="15" max="16384" width="11.42578125" style="361"/>
  </cols>
  <sheetData>
    <row r="1" spans="2:14" ht="5.25" customHeight="1">
      <c r="B1" s="1013"/>
      <c r="C1" s="1014" t="s">
        <v>117</v>
      </c>
      <c r="D1" s="1015" t="s">
        <v>51</v>
      </c>
      <c r="E1" s="1016"/>
      <c r="F1" s="1016"/>
      <c r="G1" s="1016"/>
    </row>
    <row r="2" spans="2:14" ht="5.25" customHeight="1">
      <c r="B2" s="1017" t="s">
        <v>651</v>
      </c>
      <c r="C2" s="1018">
        <v>11139.205349239999</v>
      </c>
      <c r="D2" s="1019">
        <v>0.36827524219658619</v>
      </c>
      <c r="E2" s="1016"/>
      <c r="F2" s="1016"/>
      <c r="G2" s="1016"/>
    </row>
    <row r="3" spans="2:14" ht="5.25" customHeight="1">
      <c r="B3" s="1017" t="s">
        <v>652</v>
      </c>
      <c r="C3" s="1018">
        <v>2558.5792809999998</v>
      </c>
      <c r="D3" s="1019">
        <v>8.4589643053283911E-2</v>
      </c>
      <c r="E3" s="1016"/>
      <c r="F3" s="1016"/>
      <c r="G3" s="1016"/>
    </row>
    <row r="4" spans="2:14" ht="5.25" customHeight="1">
      <c r="B4" s="1017" t="s">
        <v>99</v>
      </c>
      <c r="C4" s="1018">
        <v>3781.302302000001</v>
      </c>
      <c r="D4" s="1019">
        <v>0.12501430554761883</v>
      </c>
      <c r="E4" s="1016"/>
      <c r="F4" s="1016"/>
      <c r="G4" s="1016"/>
    </row>
    <row r="5" spans="2:14" ht="5.25" customHeight="1">
      <c r="B5" s="1017" t="s">
        <v>100</v>
      </c>
      <c r="C5" s="1018">
        <v>76.278635519999995</v>
      </c>
      <c r="D5" s="1019">
        <v>2.5218614874058082E-3</v>
      </c>
      <c r="E5" s="1016"/>
      <c r="F5" s="1016"/>
      <c r="G5" s="1016"/>
    </row>
    <row r="6" spans="2:14" ht="5.25" customHeight="1">
      <c r="B6" s="1017" t="s">
        <v>190</v>
      </c>
      <c r="C6" s="1018">
        <v>2959.3225596595221</v>
      </c>
      <c r="D6" s="1019">
        <v>9.7838687610762948E-2</v>
      </c>
      <c r="E6" s="1016"/>
      <c r="F6" s="1016"/>
      <c r="G6" s="1016"/>
    </row>
    <row r="7" spans="2:14" ht="5.25" customHeight="1">
      <c r="B7" s="1017" t="s">
        <v>191</v>
      </c>
      <c r="C7" s="1018">
        <v>2057.9700002500003</v>
      </c>
      <c r="D7" s="1019">
        <v>6.8038910901942126E-2</v>
      </c>
      <c r="E7" s="1016"/>
      <c r="F7" s="1016"/>
      <c r="G7" s="1016"/>
    </row>
    <row r="8" spans="2:14" ht="5.25" customHeight="1">
      <c r="B8" s="1017" t="s">
        <v>105</v>
      </c>
      <c r="C8" s="1018">
        <v>2530.0497734700002</v>
      </c>
      <c r="D8" s="1019">
        <v>8.3646423948693413E-2</v>
      </c>
      <c r="E8" s="1016"/>
      <c r="F8" s="1016"/>
      <c r="G8" s="1016"/>
    </row>
    <row r="9" spans="2:14" ht="5.25" customHeight="1">
      <c r="B9" s="1017" t="s">
        <v>215</v>
      </c>
      <c r="C9" s="1018">
        <v>4320.3502227994677</v>
      </c>
      <c r="D9" s="1019">
        <v>0.14283586438992296</v>
      </c>
      <c r="E9" s="1016"/>
      <c r="F9" s="1016"/>
      <c r="G9" s="1016"/>
    </row>
    <row r="10" spans="2:14" ht="5.25" customHeight="1">
      <c r="B10" s="1017" t="s">
        <v>214</v>
      </c>
      <c r="C10" s="1018">
        <v>823.89869781191499</v>
      </c>
      <c r="D10" s="1019">
        <v>2.7239060863783849E-2</v>
      </c>
      <c r="E10" s="1016"/>
      <c r="F10" s="1016"/>
      <c r="G10" s="1016"/>
    </row>
    <row r="11" spans="2:14" ht="5.25" customHeight="1">
      <c r="B11" s="1016"/>
      <c r="C11" s="1020">
        <v>30246.956821750904</v>
      </c>
      <c r="D11" s="1021">
        <v>1</v>
      </c>
      <c r="E11" s="1016"/>
      <c r="F11" s="1016"/>
      <c r="G11" s="1017">
        <v>15728.522202650973</v>
      </c>
    </row>
    <row r="12" spans="2:14">
      <c r="B12" s="1016"/>
      <c r="C12" s="1016"/>
      <c r="D12" s="1016"/>
      <c r="E12" s="1016"/>
      <c r="F12" s="1016"/>
      <c r="G12" s="1016"/>
    </row>
    <row r="13" spans="2:14" ht="15" customHeight="1">
      <c r="M13" s="389"/>
      <c r="N13" s="390"/>
    </row>
    <row r="14" spans="2:14" ht="32.25" customHeight="1">
      <c r="B14" s="1140" t="s">
        <v>427</v>
      </c>
      <c r="C14" s="1140"/>
      <c r="D14" s="1140"/>
      <c r="E14" s="1140"/>
      <c r="M14" s="389"/>
      <c r="N14" s="390"/>
    </row>
    <row r="15" spans="2:14" ht="15" customHeight="1">
      <c r="M15" s="389"/>
      <c r="N15" s="390"/>
    </row>
    <row r="16" spans="2:14" ht="15" customHeight="1">
      <c r="M16" s="389"/>
      <c r="N16" s="390"/>
    </row>
    <row r="17" spans="7:14" ht="15" customHeight="1">
      <c r="M17" s="389"/>
      <c r="N17" s="390"/>
    </row>
    <row r="18" spans="7:14" ht="15" customHeight="1"/>
    <row r="19" spans="7:14" ht="15" customHeight="1"/>
    <row r="20" spans="7:14" ht="15" customHeight="1">
      <c r="G20"/>
    </row>
    <row r="21" spans="7:14" ht="15" customHeight="1"/>
    <row r="22" spans="7:14" ht="15" customHeight="1"/>
    <row r="23" spans="7:14" ht="15" customHeight="1"/>
    <row r="24" spans="7:14" ht="15" customHeight="1"/>
    <row r="25" spans="7:14" ht="15" customHeight="1"/>
    <row r="26" spans="7:14" ht="15" customHeight="1"/>
    <row r="27" spans="7:14" ht="15" customHeight="1"/>
    <row r="28" spans="7:14" ht="15" customHeight="1"/>
    <row r="29" spans="7:14" ht="15" customHeight="1">
      <c r="H29" s="93"/>
    </row>
    <row r="30" spans="7:14" ht="15" customHeight="1"/>
    <row r="31" spans="7:14" ht="15" customHeight="1"/>
    <row r="32" spans="7:14" ht="15" customHeight="1"/>
    <row r="33" spans="2:2" ht="15" customHeight="1"/>
    <row r="34" spans="2:2" ht="15" customHeight="1"/>
    <row r="35" spans="2:2" ht="24.75" customHeight="1"/>
    <row r="36" spans="2:2">
      <c r="B36" s="827" t="s">
        <v>426</v>
      </c>
    </row>
    <row r="47" spans="2:2">
      <c r="B47" s="361" t="s">
        <v>217</v>
      </c>
    </row>
    <row r="48" spans="2:2">
      <c r="B48" s="361" t="s">
        <v>218</v>
      </c>
    </row>
  </sheetData>
  <sheetProtection password="CF4C" sheet="1" objects="1" scenarios="1" formatCells="0" formatColumns="0" formatRows="0" insertColumns="0" insertRows="0" insertHyperlinks="0" deleteColumns="0" deleteRows="0"/>
  <mergeCells count="1">
    <mergeCell ref="B14:E14"/>
  </mergeCells>
  <printOptions horizontalCentered="1" verticalCentered="1"/>
  <pageMargins left="0.19685039370078741" right="0.19685039370078741" top="0.39370078740157483" bottom="0.39370078740157483" header="0" footer="0.19685039370078741"/>
  <pageSetup paperSize="11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theme="9" tint="-0.249977111117893"/>
  </sheetPr>
  <dimension ref="B3:N43"/>
  <sheetViews>
    <sheetView showGridLines="0" workbookViewId="0">
      <selection activeCell="M13" sqref="M13"/>
    </sheetView>
  </sheetViews>
  <sheetFormatPr baseColWidth="10" defaultRowHeight="12.75"/>
  <cols>
    <col min="1" max="1" width="4.7109375" customWidth="1"/>
    <col min="11" max="11" width="4.7109375" customWidth="1"/>
  </cols>
  <sheetData>
    <row r="3" spans="2:14" ht="37.5" customHeight="1">
      <c r="B3" s="1140" t="s">
        <v>649</v>
      </c>
      <c r="C3" s="1140"/>
      <c r="D3" s="1140"/>
      <c r="E3" s="1140"/>
      <c r="F3" s="1140"/>
      <c r="G3" s="1140"/>
      <c r="H3" s="1140"/>
      <c r="I3" s="1140"/>
      <c r="J3" s="341"/>
    </row>
    <row r="4" spans="2:14" s="361" customFormat="1" ht="15" customHeight="1">
      <c r="M4" s="389"/>
      <c r="N4" s="390"/>
    </row>
    <row r="5" spans="2:14" s="361" customFormat="1" ht="15" customHeight="1">
      <c r="M5" s="389"/>
      <c r="N5" s="390"/>
    </row>
    <row r="6" spans="2:14" s="361" customFormat="1" ht="15" customHeight="1">
      <c r="B6" s="361" t="s">
        <v>229</v>
      </c>
      <c r="M6" s="389"/>
      <c r="N6" s="390"/>
    </row>
    <row r="7" spans="2:14" s="361" customFormat="1" ht="15" customHeight="1"/>
    <row r="8" spans="2:14" s="361" customFormat="1" ht="15" customHeight="1"/>
    <row r="9" spans="2:14" s="361" customFormat="1" ht="15" customHeight="1">
      <c r="G9"/>
    </row>
    <row r="10" spans="2:14" s="361" customFormat="1" ht="15" customHeight="1"/>
    <row r="11" spans="2:14" s="361" customFormat="1" ht="15" customHeight="1"/>
    <row r="12" spans="2:14" s="361" customFormat="1" ht="15" customHeight="1"/>
    <row r="13" spans="2:14" s="361" customFormat="1" ht="15" customHeight="1"/>
    <row r="14" spans="2:14" s="361" customFormat="1" ht="15" customHeight="1"/>
    <row r="15" spans="2:14" s="361" customFormat="1" ht="15" customHeight="1">
      <c r="J15" s="93"/>
    </row>
    <row r="16" spans="2:14" s="361" customFormat="1" ht="15" customHeight="1"/>
    <row r="17" spans="2:2" s="361" customFormat="1" ht="15" customHeight="1"/>
    <row r="18" spans="2:2" s="361" customFormat="1" ht="15" customHeight="1"/>
    <row r="19" spans="2:2" s="361" customFormat="1" ht="15" customHeight="1"/>
    <row r="20" spans="2:2" s="361" customFormat="1" ht="15" customHeight="1"/>
    <row r="21" spans="2:2" s="361" customFormat="1" ht="15" customHeight="1"/>
    <row r="22" spans="2:2" s="361" customFormat="1" ht="15" customHeight="1"/>
    <row r="23" spans="2:2" s="361" customFormat="1" ht="15" customHeight="1"/>
    <row r="24" spans="2:2" s="361" customFormat="1" ht="21" customHeight="1"/>
    <row r="25" spans="2:2">
      <c r="B25" s="68" t="s">
        <v>426</v>
      </c>
    </row>
    <row r="34" spans="2:4">
      <c r="B34" s="121"/>
      <c r="C34" s="135"/>
      <c r="D34" s="122"/>
    </row>
    <row r="35" spans="2:4">
      <c r="B35" s="121"/>
      <c r="C35" s="135"/>
      <c r="D35" s="122"/>
    </row>
    <row r="36" spans="2:4">
      <c r="B36" s="121"/>
      <c r="C36" s="135"/>
      <c r="D36" s="122"/>
    </row>
    <row r="37" spans="2:4">
      <c r="B37" s="121"/>
      <c r="C37" s="135"/>
      <c r="D37" s="122"/>
    </row>
    <row r="38" spans="2:4">
      <c r="B38" s="121"/>
      <c r="C38" s="135"/>
      <c r="D38" s="122"/>
    </row>
    <row r="39" spans="2:4">
      <c r="B39" s="121"/>
      <c r="C39" s="135"/>
      <c r="D39" s="122"/>
    </row>
    <row r="43" spans="2:4">
      <c r="B43" s="246"/>
    </row>
  </sheetData>
  <sheetProtection password="CF4C" sheet="1" objects="1" scenarios="1"/>
  <mergeCells count="1">
    <mergeCell ref="B3:I3"/>
  </mergeCells>
  <phoneticPr fontId="9" type="noConversion"/>
  <printOptions horizontalCentered="1" verticalCentered="1"/>
  <pageMargins left="0.19685039370078741" right="0.19685039370078741" top="0.59055118110236227" bottom="0.59055118110236227" header="0" footer="0.39370078740157483"/>
  <pageSetup orientation="landscape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1" enableFormatConditionsCalculation="0">
    <tabColor theme="9" tint="-0.249977111117893"/>
    <pageSetUpPr fitToPage="1"/>
  </sheetPr>
  <dimension ref="A1:N51"/>
  <sheetViews>
    <sheetView showGridLines="0" zoomScale="75" zoomScaleNormal="75" workbookViewId="0">
      <selection activeCell="O46" sqref="O46"/>
    </sheetView>
  </sheetViews>
  <sheetFormatPr baseColWidth="10" defaultRowHeight="12.75"/>
  <cols>
    <col min="1" max="1" width="1.7109375" customWidth="1"/>
    <col min="2" max="2" width="22.7109375" customWidth="1"/>
    <col min="3" max="6" width="14.7109375" customWidth="1"/>
    <col min="7" max="7" width="15.7109375" customWidth="1"/>
    <col min="8" max="8" width="1.7109375" customWidth="1"/>
    <col min="9" max="9" width="15" customWidth="1"/>
    <col min="10" max="10" width="12" customWidth="1"/>
    <col min="11" max="11" width="13.140625" customWidth="1"/>
  </cols>
  <sheetData>
    <row r="1" spans="1:14" s="46" customFormat="1" ht="12" customHeight="1">
      <c r="A1" s="261"/>
      <c r="B1" s="259"/>
      <c r="C1" s="260"/>
      <c r="D1" s="260"/>
      <c r="E1" s="260"/>
      <c r="F1" s="260"/>
      <c r="G1" s="260"/>
      <c r="H1" s="261"/>
      <c r="J1" s="45"/>
      <c r="K1" s="45"/>
    </row>
    <row r="2" spans="1:14" ht="30" customHeight="1">
      <c r="A2" s="263"/>
      <c r="B2" s="1136" t="s">
        <v>522</v>
      </c>
      <c r="C2" s="1136"/>
      <c r="D2" s="1136"/>
      <c r="E2" s="1136"/>
      <c r="F2" s="1136"/>
      <c r="G2" s="1136"/>
      <c r="H2" s="266"/>
      <c r="I2" s="229"/>
      <c r="J2" s="1022"/>
      <c r="K2" s="1022"/>
      <c r="L2" s="12"/>
      <c r="M2" s="12"/>
      <c r="N2" s="12"/>
    </row>
    <row r="3" spans="1:14" ht="15" customHeight="1" thickBot="1">
      <c r="A3" s="263"/>
      <c r="B3" s="419" t="s">
        <v>112</v>
      </c>
      <c r="C3" s="420"/>
      <c r="D3" s="420"/>
      <c r="E3" s="420"/>
      <c r="F3" s="419"/>
      <c r="G3" s="420"/>
      <c r="H3" s="266"/>
      <c r="I3" s="229"/>
      <c r="J3" s="12"/>
      <c r="K3" s="12"/>
      <c r="L3" s="12"/>
      <c r="M3" s="12"/>
      <c r="N3" s="12"/>
    </row>
    <row r="4" spans="1:14" ht="18" customHeight="1" thickBot="1">
      <c r="A4" s="263"/>
      <c r="B4" s="1143" t="s">
        <v>230</v>
      </c>
      <c r="C4" s="457" t="s">
        <v>279</v>
      </c>
      <c r="D4" s="457"/>
      <c r="E4" s="457"/>
      <c r="F4" s="457"/>
      <c r="G4" s="1129" t="s">
        <v>255</v>
      </c>
      <c r="H4" s="266"/>
      <c r="I4" s="229"/>
      <c r="J4" s="12"/>
      <c r="K4" s="12"/>
      <c r="L4" s="12"/>
      <c r="M4" s="12"/>
      <c r="N4" s="12"/>
    </row>
    <row r="5" spans="1:14" ht="18.75" thickBot="1">
      <c r="A5" s="263"/>
      <c r="B5" s="1143"/>
      <c r="C5" s="440" t="s">
        <v>280</v>
      </c>
      <c r="D5" s="440" t="s">
        <v>281</v>
      </c>
      <c r="E5" s="440" t="s">
        <v>282</v>
      </c>
      <c r="F5" s="440" t="s">
        <v>601</v>
      </c>
      <c r="G5" s="1130"/>
      <c r="H5" s="266"/>
      <c r="I5" s="229"/>
      <c r="J5" s="12"/>
      <c r="K5" s="12"/>
      <c r="L5" s="12"/>
      <c r="M5" s="12"/>
      <c r="N5" s="12"/>
    </row>
    <row r="6" spans="1:14" ht="15" customHeight="1" thickBot="1">
      <c r="A6" s="263"/>
      <c r="B6" s="458" t="s">
        <v>6</v>
      </c>
      <c r="C6" s="481">
        <v>117.38615501999999</v>
      </c>
      <c r="D6" s="481">
        <v>54.293613999999998</v>
      </c>
      <c r="E6" s="481">
        <v>46.068652999999998</v>
      </c>
      <c r="F6" s="481">
        <v>84.732789041142098</v>
      </c>
      <c r="G6" s="482">
        <v>302.48121106114206</v>
      </c>
      <c r="H6" s="266"/>
      <c r="I6" s="229"/>
      <c r="J6" s="1023"/>
      <c r="K6" s="1023"/>
      <c r="L6" s="1024"/>
      <c r="M6" s="12"/>
      <c r="N6" s="12"/>
    </row>
    <row r="7" spans="1:14" ht="15" customHeight="1" thickBot="1">
      <c r="A7" s="263"/>
      <c r="B7" s="459" t="s">
        <v>7</v>
      </c>
      <c r="C7" s="480">
        <v>223.28431800000001</v>
      </c>
      <c r="D7" s="480">
        <v>8.9526149999999998</v>
      </c>
      <c r="E7" s="480">
        <v>77.272323</v>
      </c>
      <c r="F7" s="480">
        <v>434.65731623521214</v>
      </c>
      <c r="G7" s="482">
        <v>744.16657223521224</v>
      </c>
      <c r="H7" s="266"/>
      <c r="I7" s="229"/>
      <c r="J7" s="1023"/>
      <c r="K7" s="1023"/>
      <c r="L7" s="12"/>
      <c r="M7" s="12"/>
      <c r="N7" s="12"/>
    </row>
    <row r="8" spans="1:14" ht="15" customHeight="1" thickBot="1">
      <c r="A8" s="263"/>
      <c r="B8" s="458" t="s">
        <v>8</v>
      </c>
      <c r="C8" s="481">
        <v>145.46638200000001</v>
      </c>
      <c r="D8" s="481">
        <v>39.280335999999998</v>
      </c>
      <c r="E8" s="481">
        <v>46.220132</v>
      </c>
      <c r="F8" s="481">
        <v>94.919838673539473</v>
      </c>
      <c r="G8" s="482">
        <v>325.88668867353948</v>
      </c>
      <c r="H8" s="266"/>
      <c r="I8" s="229"/>
      <c r="J8" s="1023"/>
      <c r="K8" s="1023"/>
      <c r="L8" s="12"/>
      <c r="M8" s="12"/>
      <c r="N8" s="12"/>
    </row>
    <row r="9" spans="1:14" ht="15" customHeight="1" thickBot="1">
      <c r="A9" s="263"/>
      <c r="B9" s="459" t="s">
        <v>9</v>
      </c>
      <c r="C9" s="480">
        <v>120.53840803999999</v>
      </c>
      <c r="D9" s="480">
        <v>163.08168196</v>
      </c>
      <c r="E9" s="480">
        <v>10.226093000000001</v>
      </c>
      <c r="F9" s="480">
        <v>21.150707106372103</v>
      </c>
      <c r="G9" s="482">
        <v>314.99689010637212</v>
      </c>
      <c r="H9" s="266"/>
      <c r="I9" s="229"/>
      <c r="J9" s="1023"/>
      <c r="K9" s="1023"/>
      <c r="L9" s="12"/>
      <c r="M9" s="12"/>
      <c r="N9" s="12"/>
    </row>
    <row r="10" spans="1:14" ht="15" customHeight="1" thickBot="1">
      <c r="A10" s="263"/>
      <c r="B10" s="458" t="s">
        <v>12</v>
      </c>
      <c r="C10" s="481">
        <v>214.07464500000003</v>
      </c>
      <c r="D10" s="481">
        <v>93.251692480000003</v>
      </c>
      <c r="E10" s="481">
        <v>141.42144808</v>
      </c>
      <c r="F10" s="481">
        <v>56.238973500729912</v>
      </c>
      <c r="G10" s="482">
        <v>504.98675906072992</v>
      </c>
      <c r="H10" s="266"/>
      <c r="I10" s="229"/>
      <c r="J10" s="1023"/>
      <c r="K10" s="1023"/>
      <c r="L10" s="12"/>
      <c r="M10" s="12"/>
      <c r="N10" s="12"/>
    </row>
    <row r="11" spans="1:14" ht="15" customHeight="1" thickBot="1">
      <c r="A11" s="263"/>
      <c r="B11" s="459" t="s">
        <v>13</v>
      </c>
      <c r="C11" s="480">
        <v>407.379976</v>
      </c>
      <c r="D11" s="480">
        <v>180.97578799999999</v>
      </c>
      <c r="E11" s="480">
        <v>121.84404600000001</v>
      </c>
      <c r="F11" s="480">
        <v>371.68822827291103</v>
      </c>
      <c r="G11" s="482">
        <v>1081.8880382729112</v>
      </c>
      <c r="H11" s="266"/>
      <c r="I11" s="229"/>
      <c r="J11" s="1023"/>
      <c r="K11" s="1023"/>
      <c r="L11" s="12"/>
      <c r="M11" s="12"/>
      <c r="N11" s="12"/>
    </row>
    <row r="12" spans="1:14" ht="15" customHeight="1" thickBot="1">
      <c r="A12" s="263"/>
      <c r="B12" s="458" t="s">
        <v>223</v>
      </c>
      <c r="C12" s="481">
        <v>196.58493642000002</v>
      </c>
      <c r="D12" s="481">
        <v>76.155180340000001</v>
      </c>
      <c r="E12" s="481">
        <v>130.57898399999999</v>
      </c>
      <c r="F12" s="481">
        <v>144.96322475111126</v>
      </c>
      <c r="G12" s="482">
        <v>548.28232551111125</v>
      </c>
      <c r="H12" s="266"/>
      <c r="I12" s="229"/>
      <c r="J12" s="1023"/>
      <c r="K12" s="1023"/>
      <c r="L12" s="12"/>
      <c r="M12" s="12"/>
      <c r="N12" s="12"/>
    </row>
    <row r="13" spans="1:14" ht="15" customHeight="1" thickBot="1">
      <c r="A13" s="263"/>
      <c r="B13" s="459" t="s">
        <v>11</v>
      </c>
      <c r="C13" s="480">
        <v>37.391545999999998</v>
      </c>
      <c r="D13" s="480">
        <v>1.191419</v>
      </c>
      <c r="E13" s="480">
        <v>14.673434</v>
      </c>
      <c r="F13" s="480">
        <v>36.235126493666499</v>
      </c>
      <c r="G13" s="482">
        <v>89.491525493666501</v>
      </c>
      <c r="H13" s="266"/>
      <c r="I13" s="229"/>
      <c r="J13" s="1023"/>
      <c r="K13" s="1023"/>
      <c r="L13" s="12"/>
      <c r="M13" s="12"/>
      <c r="N13" s="12"/>
    </row>
    <row r="14" spans="1:14" ht="15" customHeight="1" thickBot="1">
      <c r="A14" s="263"/>
      <c r="B14" s="458" t="s">
        <v>14</v>
      </c>
      <c r="C14" s="481">
        <v>1377.6358842499999</v>
      </c>
      <c r="D14" s="481">
        <v>726.81618100000003</v>
      </c>
      <c r="E14" s="481">
        <v>347.89339899999999</v>
      </c>
      <c r="F14" s="481">
        <v>466.54169905476471</v>
      </c>
      <c r="G14" s="482">
        <v>2918.8871633047647</v>
      </c>
      <c r="H14" s="266"/>
      <c r="I14" s="229"/>
      <c r="J14" s="1023"/>
      <c r="K14" s="1023"/>
      <c r="L14" s="12"/>
      <c r="M14" s="12"/>
      <c r="N14" s="12"/>
    </row>
    <row r="15" spans="1:14" ht="15" customHeight="1" thickBot="1">
      <c r="A15" s="263"/>
      <c r="B15" s="459" t="s">
        <v>15</v>
      </c>
      <c r="C15" s="480">
        <v>219.550838</v>
      </c>
      <c r="D15" s="480">
        <v>91.928066000000001</v>
      </c>
      <c r="E15" s="480">
        <v>132.554902</v>
      </c>
      <c r="F15" s="480">
        <v>42.425482676236243</v>
      </c>
      <c r="G15" s="482">
        <v>486.45928867623627</v>
      </c>
      <c r="H15" s="266"/>
      <c r="I15" s="229"/>
      <c r="J15" s="1023"/>
      <c r="K15" s="1023"/>
      <c r="L15" s="12"/>
      <c r="M15" s="12"/>
      <c r="N15" s="12"/>
    </row>
    <row r="16" spans="1:14" ht="15" customHeight="1" thickBot="1">
      <c r="A16" s="263"/>
      <c r="B16" s="458" t="s">
        <v>16</v>
      </c>
      <c r="C16" s="481">
        <v>317.67719899999997</v>
      </c>
      <c r="D16" s="481">
        <v>242.74105799999998</v>
      </c>
      <c r="E16" s="481">
        <v>91.427199000000002</v>
      </c>
      <c r="F16" s="481">
        <v>192.36544793585404</v>
      </c>
      <c r="G16" s="482">
        <v>844.21090393585393</v>
      </c>
      <c r="H16" s="266"/>
      <c r="I16" s="229"/>
      <c r="J16" s="1023"/>
      <c r="K16" s="1023"/>
      <c r="L16" s="12"/>
      <c r="M16" s="12"/>
      <c r="N16" s="12"/>
    </row>
    <row r="17" spans="1:14" ht="15" customHeight="1" thickBot="1">
      <c r="A17" s="263"/>
      <c r="B17" s="459" t="s">
        <v>17</v>
      </c>
      <c r="C17" s="480">
        <v>368.13498062999992</v>
      </c>
      <c r="D17" s="480">
        <v>175.49153285999995</v>
      </c>
      <c r="E17" s="480">
        <v>119.9811425</v>
      </c>
      <c r="F17" s="480">
        <v>57.141742504471949</v>
      </c>
      <c r="G17" s="482">
        <v>720.74939849447185</v>
      </c>
      <c r="H17" s="266"/>
      <c r="I17" s="229"/>
      <c r="J17" s="1023"/>
      <c r="K17" s="1023"/>
      <c r="L17" s="12"/>
      <c r="M17" s="12"/>
      <c r="N17" s="12"/>
    </row>
    <row r="18" spans="1:14" ht="15" customHeight="1" thickBot="1">
      <c r="A18" s="263"/>
      <c r="B18" s="458" t="s">
        <v>18</v>
      </c>
      <c r="C18" s="481">
        <v>127.88729581999999</v>
      </c>
      <c r="D18" s="481">
        <v>85.351170079999989</v>
      </c>
      <c r="E18" s="481">
        <v>37.436915999999997</v>
      </c>
      <c r="F18" s="481">
        <v>103.1018891854587</v>
      </c>
      <c r="G18" s="482">
        <v>353.77727108545866</v>
      </c>
      <c r="H18" s="266"/>
      <c r="I18" s="229"/>
      <c r="J18" s="1023"/>
      <c r="K18" s="1023"/>
      <c r="L18" s="12"/>
      <c r="M18" s="12"/>
      <c r="N18" s="12"/>
    </row>
    <row r="19" spans="1:14" ht="15" customHeight="1" thickBot="1">
      <c r="A19" s="263"/>
      <c r="B19" s="459" t="s">
        <v>19</v>
      </c>
      <c r="C19" s="480">
        <v>379.26481200000001</v>
      </c>
      <c r="D19" s="480">
        <v>298.831324</v>
      </c>
      <c r="E19" s="480">
        <v>119.906548</v>
      </c>
      <c r="F19" s="480">
        <v>330.22057935856805</v>
      </c>
      <c r="G19" s="482">
        <v>1128.2232633585681</v>
      </c>
      <c r="H19" s="266"/>
      <c r="I19" s="229"/>
      <c r="J19" s="1023"/>
      <c r="K19" s="1023"/>
      <c r="L19" s="12"/>
      <c r="M19" s="12"/>
      <c r="N19" s="12"/>
    </row>
    <row r="20" spans="1:14" ht="15" customHeight="1" thickBot="1">
      <c r="A20" s="263"/>
      <c r="B20" s="458" t="s">
        <v>20</v>
      </c>
      <c r="C20" s="481">
        <v>724.55598199999997</v>
      </c>
      <c r="D20" s="481">
        <v>475.386661</v>
      </c>
      <c r="E20" s="481">
        <v>308.38567999999998</v>
      </c>
      <c r="F20" s="481">
        <v>455.35235419779718</v>
      </c>
      <c r="G20" s="482">
        <v>1963.680677197797</v>
      </c>
      <c r="H20" s="266"/>
      <c r="I20" s="229"/>
      <c r="J20" s="1023"/>
      <c r="K20" s="1023"/>
      <c r="L20" s="12"/>
      <c r="M20" s="12"/>
      <c r="N20" s="12"/>
    </row>
    <row r="21" spans="1:14" ht="15" customHeight="1" thickBot="1">
      <c r="A21" s="263"/>
      <c r="B21" s="459" t="s">
        <v>224</v>
      </c>
      <c r="C21" s="480">
        <v>296.70512000000002</v>
      </c>
      <c r="D21" s="480">
        <v>81.969952000000006</v>
      </c>
      <c r="E21" s="480">
        <v>171.063165</v>
      </c>
      <c r="F21" s="480">
        <v>103.77012248098336</v>
      </c>
      <c r="G21" s="482">
        <v>653.50835948098336</v>
      </c>
      <c r="H21" s="266"/>
      <c r="I21" s="229"/>
      <c r="J21" s="1023"/>
      <c r="K21" s="1023"/>
      <c r="L21" s="12"/>
      <c r="M21" s="12"/>
      <c r="N21" s="12"/>
    </row>
    <row r="22" spans="1:14" ht="15" customHeight="1" thickBot="1">
      <c r="A22" s="263"/>
      <c r="B22" s="458" t="s">
        <v>22</v>
      </c>
      <c r="C22" s="481">
        <v>237.99142499999999</v>
      </c>
      <c r="D22" s="481">
        <v>204.59452200000001</v>
      </c>
      <c r="E22" s="481">
        <v>35.478230000000003</v>
      </c>
      <c r="F22" s="481">
        <v>105.17230727686001</v>
      </c>
      <c r="G22" s="482">
        <v>583.23648427685998</v>
      </c>
      <c r="H22" s="266"/>
      <c r="I22" s="229"/>
      <c r="J22" s="1023"/>
      <c r="K22" s="1023"/>
      <c r="L22" s="12"/>
      <c r="M22" s="12"/>
      <c r="N22" s="12"/>
    </row>
    <row r="23" spans="1:14" ht="15" customHeight="1" thickBot="1">
      <c r="A23" s="263"/>
      <c r="B23" s="459" t="s">
        <v>23</v>
      </c>
      <c r="C23" s="480">
        <v>88.476150000000004</v>
      </c>
      <c r="D23" s="480">
        <v>72.593010000000007</v>
      </c>
      <c r="E23" s="480">
        <v>20.404677</v>
      </c>
      <c r="F23" s="480">
        <v>39.937292955754096</v>
      </c>
      <c r="G23" s="482">
        <v>221.41112995575409</v>
      </c>
      <c r="H23" s="266"/>
      <c r="I23" s="229"/>
      <c r="J23" s="1023"/>
      <c r="K23" s="1023"/>
      <c r="L23" s="12"/>
      <c r="M23" s="12"/>
      <c r="N23" s="12"/>
    </row>
    <row r="24" spans="1:14" ht="15" customHeight="1" thickBot="1">
      <c r="A24" s="263"/>
      <c r="B24" s="458" t="s">
        <v>24</v>
      </c>
      <c r="C24" s="481">
        <v>402.64470899999998</v>
      </c>
      <c r="D24" s="481">
        <v>288.49318299999999</v>
      </c>
      <c r="E24" s="481">
        <v>182.15619000000001</v>
      </c>
      <c r="F24" s="481">
        <v>405.73718889894195</v>
      </c>
      <c r="G24" s="482">
        <v>1279.031270898942</v>
      </c>
      <c r="H24" s="266"/>
      <c r="I24" s="229"/>
      <c r="J24" s="1023"/>
      <c r="K24" s="1023"/>
      <c r="L24" s="12"/>
      <c r="M24" s="12"/>
      <c r="N24" s="12"/>
    </row>
    <row r="25" spans="1:14" ht="15" customHeight="1" thickBot="1">
      <c r="A25" s="263"/>
      <c r="B25" s="459" t="s">
        <v>25</v>
      </c>
      <c r="C25" s="480">
        <v>134.47734169</v>
      </c>
      <c r="D25" s="480">
        <v>66.932982209999992</v>
      </c>
      <c r="E25" s="480">
        <v>78.580838959999994</v>
      </c>
      <c r="F25" s="480">
        <v>31.749340409955362</v>
      </c>
      <c r="G25" s="482">
        <v>311.74050326995535</v>
      </c>
      <c r="H25" s="266"/>
      <c r="I25" s="229"/>
      <c r="J25" s="1023"/>
      <c r="K25" s="1023"/>
      <c r="L25" s="12"/>
      <c r="M25" s="12"/>
      <c r="N25" s="12"/>
    </row>
    <row r="26" spans="1:14" ht="15" customHeight="1" thickBot="1">
      <c r="A26" s="263"/>
      <c r="B26" s="458" t="s">
        <v>36</v>
      </c>
      <c r="C26" s="481">
        <v>138.31939356000001</v>
      </c>
      <c r="D26" s="481">
        <v>32.564520999999999</v>
      </c>
      <c r="E26" s="481">
        <v>104.625051</v>
      </c>
      <c r="F26" s="481">
        <v>125.81199862828322</v>
      </c>
      <c r="G26" s="482">
        <v>401.3209641882832</v>
      </c>
      <c r="H26" s="266"/>
      <c r="I26" s="229"/>
      <c r="J26" s="1023"/>
      <c r="K26" s="1023"/>
      <c r="L26" s="12"/>
      <c r="M26" s="12"/>
      <c r="N26" s="12"/>
    </row>
    <row r="27" spans="1:14" ht="15" customHeight="1" thickBot="1">
      <c r="A27" s="263"/>
      <c r="B27" s="459" t="s">
        <v>225</v>
      </c>
      <c r="C27" s="480">
        <v>500.31262855</v>
      </c>
      <c r="D27" s="480">
        <v>0.83</v>
      </c>
      <c r="E27" s="480">
        <v>37.63262855</v>
      </c>
      <c r="F27" s="480">
        <v>1285.797841090008</v>
      </c>
      <c r="G27" s="482">
        <v>1824.5730981900078</v>
      </c>
      <c r="H27" s="266"/>
      <c r="I27" s="229"/>
      <c r="J27" s="1023"/>
      <c r="K27" s="1023"/>
      <c r="L27" s="12"/>
      <c r="M27" s="12"/>
      <c r="N27" s="12"/>
    </row>
    <row r="28" spans="1:14" ht="15" customHeight="1" thickBot="1">
      <c r="A28" s="263"/>
      <c r="B28" s="458" t="s">
        <v>27</v>
      </c>
      <c r="C28" s="481">
        <v>102.44696462</v>
      </c>
      <c r="D28" s="481">
        <v>104.85022509000001</v>
      </c>
      <c r="E28" s="481">
        <v>8.6729450000000003</v>
      </c>
      <c r="F28" s="481">
        <v>125.99196704395585</v>
      </c>
      <c r="G28" s="482">
        <v>341.96210175395584</v>
      </c>
      <c r="H28" s="266"/>
      <c r="I28" s="229"/>
      <c r="J28" s="1023"/>
      <c r="K28" s="1023"/>
      <c r="L28" s="12"/>
      <c r="M28" s="12"/>
      <c r="N28" s="12"/>
    </row>
    <row r="29" spans="1:14" ht="15" customHeight="1" thickBot="1">
      <c r="A29" s="263"/>
      <c r="B29" s="459" t="s">
        <v>28</v>
      </c>
      <c r="C29" s="480">
        <v>95.990061999999995</v>
      </c>
      <c r="D29" s="480">
        <v>4.0187189999999999</v>
      </c>
      <c r="E29" s="480">
        <v>71.736699000000002</v>
      </c>
      <c r="F29" s="480">
        <v>109.11235800701547</v>
      </c>
      <c r="G29" s="482">
        <v>280.85783800701546</v>
      </c>
      <c r="H29" s="266"/>
      <c r="I29" s="229"/>
      <c r="J29" s="1023"/>
      <c r="K29" s="1023"/>
      <c r="L29" s="12"/>
      <c r="M29" s="12"/>
      <c r="N29" s="12"/>
    </row>
    <row r="30" spans="1:14" ht="15" customHeight="1" thickBot="1">
      <c r="A30" s="263"/>
      <c r="B30" s="458" t="s">
        <v>29</v>
      </c>
      <c r="C30" s="481">
        <v>211.378804</v>
      </c>
      <c r="D30" s="481">
        <v>120.05683399999999</v>
      </c>
      <c r="E30" s="481">
        <v>106.51117600000001</v>
      </c>
      <c r="F30" s="481">
        <v>111.6851516606779</v>
      </c>
      <c r="G30" s="482">
        <v>549.63196566067791</v>
      </c>
      <c r="H30" s="266"/>
      <c r="I30" s="229"/>
      <c r="J30" s="1023"/>
      <c r="K30" s="1023"/>
      <c r="L30" s="12"/>
      <c r="M30" s="12"/>
      <c r="N30" s="12"/>
    </row>
    <row r="31" spans="1:14" ht="15" customHeight="1" thickBot="1">
      <c r="A31" s="263"/>
      <c r="B31" s="459" t="s">
        <v>37</v>
      </c>
      <c r="C31" s="480">
        <v>202.44143800000001</v>
      </c>
      <c r="D31" s="480">
        <v>54.600062000000001</v>
      </c>
      <c r="E31" s="480">
        <v>134.129896</v>
      </c>
      <c r="F31" s="480">
        <v>164.10715054088757</v>
      </c>
      <c r="G31" s="482">
        <v>555.27854654088753</v>
      </c>
      <c r="H31" s="266"/>
      <c r="I31" s="229"/>
      <c r="J31" s="1023"/>
      <c r="K31" s="1023"/>
      <c r="L31" s="12"/>
      <c r="M31" s="12"/>
      <c r="N31" s="12"/>
    </row>
    <row r="32" spans="1:14" ht="15" customHeight="1" thickBot="1">
      <c r="A32" s="263"/>
      <c r="B32" s="458" t="s">
        <v>30</v>
      </c>
      <c r="C32" s="481">
        <v>174.35214550000001</v>
      </c>
      <c r="D32" s="481">
        <v>81.508424000000005</v>
      </c>
      <c r="E32" s="481">
        <v>99.541539499999999</v>
      </c>
      <c r="F32" s="481">
        <v>45.833621967221362</v>
      </c>
      <c r="G32" s="482">
        <v>401.23573096722134</v>
      </c>
      <c r="H32" s="266"/>
      <c r="I32" s="229"/>
      <c r="J32" s="1023"/>
      <c r="K32" s="1023"/>
      <c r="L32" s="12"/>
      <c r="M32" s="12"/>
      <c r="N32" s="12"/>
    </row>
    <row r="33" spans="1:14" ht="15" customHeight="1" thickBot="1">
      <c r="A33" s="263"/>
      <c r="B33" s="459" t="s">
        <v>31</v>
      </c>
      <c r="C33" s="480">
        <v>207.40330025</v>
      </c>
      <c r="D33" s="480">
        <v>142.70846158000001</v>
      </c>
      <c r="E33" s="480">
        <v>81.500239930000006</v>
      </c>
      <c r="F33" s="480">
        <v>178.37672226535747</v>
      </c>
      <c r="G33" s="482">
        <v>609.98872402535744</v>
      </c>
      <c r="H33" s="266"/>
      <c r="I33" s="229"/>
      <c r="J33" s="1023"/>
      <c r="K33" s="1023"/>
      <c r="L33" s="12"/>
      <c r="M33" s="12"/>
      <c r="N33" s="12"/>
    </row>
    <row r="34" spans="1:14" ht="15" customHeight="1" thickBot="1">
      <c r="A34" s="263"/>
      <c r="B34" s="458" t="s">
        <v>32</v>
      </c>
      <c r="C34" s="481">
        <v>50.739992020000003</v>
      </c>
      <c r="D34" s="481">
        <v>22.124019100000002</v>
      </c>
      <c r="E34" s="481">
        <v>26.533280000000001</v>
      </c>
      <c r="F34" s="481">
        <v>17.193155653039078</v>
      </c>
      <c r="G34" s="482">
        <v>116.59044677303908</v>
      </c>
      <c r="H34" s="266"/>
      <c r="I34" s="229"/>
      <c r="J34" s="1023"/>
      <c r="K34" s="1023"/>
      <c r="L34" s="12"/>
      <c r="M34" s="12"/>
      <c r="N34" s="12"/>
    </row>
    <row r="35" spans="1:14" ht="15" customHeight="1" thickBot="1">
      <c r="A35" s="263"/>
      <c r="B35" s="459" t="s">
        <v>262</v>
      </c>
      <c r="C35" s="480">
        <v>310.79353986000001</v>
      </c>
      <c r="D35" s="480">
        <v>147.22460187499999</v>
      </c>
      <c r="E35" s="480">
        <v>214.17436592500002</v>
      </c>
      <c r="F35" s="480">
        <v>169.68723118380797</v>
      </c>
      <c r="G35" s="482">
        <v>841.87973884380801</v>
      </c>
      <c r="H35" s="266"/>
      <c r="I35" s="229"/>
      <c r="J35" s="1023"/>
      <c r="K35" s="1023"/>
      <c r="L35" s="12"/>
      <c r="M35" s="12"/>
      <c r="N35" s="12"/>
    </row>
    <row r="36" spans="1:14" ht="15" customHeight="1" thickBot="1">
      <c r="A36" s="263"/>
      <c r="B36" s="458" t="s">
        <v>34</v>
      </c>
      <c r="C36" s="481">
        <v>86.969347529999993</v>
      </c>
      <c r="D36" s="481">
        <v>18.91268711</v>
      </c>
      <c r="E36" s="481">
        <v>41.713917739999999</v>
      </c>
      <c r="F36" s="481">
        <v>87.802150000289274</v>
      </c>
      <c r="G36" s="482">
        <v>235.39810238028929</v>
      </c>
      <c r="H36" s="266"/>
      <c r="I36" s="229"/>
      <c r="J36" s="1023"/>
      <c r="K36" s="1023"/>
      <c r="L36" s="12"/>
      <c r="M36" s="12"/>
      <c r="N36" s="12"/>
    </row>
    <row r="37" spans="1:14" ht="15" customHeight="1" thickBot="1">
      <c r="A37" s="263"/>
      <c r="B37" s="459" t="s">
        <v>35</v>
      </c>
      <c r="C37" s="480">
        <v>179.40148500000001</v>
      </c>
      <c r="D37" s="480">
        <v>144.09008029000003</v>
      </c>
      <c r="E37" s="480">
        <v>50.904476119999998</v>
      </c>
      <c r="F37" s="480">
        <v>21.153222802511475</v>
      </c>
      <c r="G37" s="482">
        <v>395.54926421251156</v>
      </c>
      <c r="H37" s="266"/>
      <c r="I37" s="229"/>
      <c r="J37" s="1023"/>
      <c r="K37" s="1023"/>
      <c r="L37" s="12"/>
      <c r="M37" s="12"/>
      <c r="N37" s="12"/>
    </row>
    <row r="38" spans="1:14" ht="14.25" thickBot="1">
      <c r="A38" s="263"/>
      <c r="B38" s="459" t="s">
        <v>308</v>
      </c>
      <c r="C38" s="480">
        <v>2540.1065349999999</v>
      </c>
      <c r="D38" s="480">
        <v>0</v>
      </c>
      <c r="E38" s="480">
        <v>0</v>
      </c>
      <c r="F38" s="480">
        <v>18.472746000000001</v>
      </c>
      <c r="G38" s="482">
        <v>2558.5792809999998</v>
      </c>
      <c r="H38" s="266"/>
      <c r="I38" s="229"/>
      <c r="J38" s="1023"/>
      <c r="K38" s="1023"/>
      <c r="L38" s="12"/>
      <c r="M38" s="12"/>
      <c r="N38" s="12"/>
    </row>
    <row r="39" spans="1:14" ht="15" customHeight="1" thickBot="1">
      <c r="A39" s="263"/>
      <c r="B39" s="458" t="s">
        <v>96</v>
      </c>
      <c r="C39" s="481">
        <v>0</v>
      </c>
      <c r="D39" s="481">
        <v>0</v>
      </c>
      <c r="E39" s="481">
        <v>0</v>
      </c>
      <c r="F39" s="481">
        <v>96.970843916082373</v>
      </c>
      <c r="G39" s="482">
        <v>96.970843916082373</v>
      </c>
      <c r="H39" s="266"/>
      <c r="I39" s="1026"/>
      <c r="J39" s="1026"/>
      <c r="K39" s="1026"/>
      <c r="L39" s="1026"/>
      <c r="M39" s="12"/>
      <c r="N39" s="12"/>
    </row>
    <row r="40" spans="1:14" ht="18" customHeight="1" thickBot="1">
      <c r="A40" s="263"/>
      <c r="B40" s="460" t="s">
        <v>54</v>
      </c>
      <c r="C40" s="482">
        <v>10937.763739759997</v>
      </c>
      <c r="D40" s="482">
        <v>4301.8006039749989</v>
      </c>
      <c r="E40" s="482">
        <v>3211.2502153049995</v>
      </c>
      <c r="F40" s="482">
        <v>6136.0978117694667</v>
      </c>
      <c r="G40" s="482">
        <v>24586.912370809463</v>
      </c>
      <c r="H40" s="266"/>
      <c r="I40" s="1026"/>
      <c r="J40" s="1026"/>
      <c r="K40" s="1026"/>
      <c r="L40" s="1026"/>
      <c r="M40" s="12"/>
      <c r="N40" s="12"/>
    </row>
    <row r="41" spans="1:14" ht="18.75" customHeight="1">
      <c r="A41" s="263"/>
      <c r="B41" s="1144" t="s">
        <v>608</v>
      </c>
      <c r="C41" s="1145"/>
      <c r="D41" s="1145"/>
      <c r="E41" s="1145"/>
      <c r="F41" s="1145"/>
      <c r="G41" s="1145"/>
      <c r="H41" s="266"/>
      <c r="I41" s="1026"/>
      <c r="J41" s="1026"/>
      <c r="K41" s="1026"/>
      <c r="L41" s="1026"/>
      <c r="M41" s="12"/>
      <c r="N41" s="12"/>
    </row>
    <row r="42" spans="1:14" ht="18.75" customHeight="1">
      <c r="A42" s="263"/>
      <c r="B42" s="1141" t="s">
        <v>609</v>
      </c>
      <c r="C42" s="1141"/>
      <c r="D42" s="1141"/>
      <c r="E42" s="1141"/>
      <c r="F42" s="1141"/>
      <c r="G42" s="1141"/>
      <c r="H42" s="266"/>
      <c r="I42" s="229"/>
      <c r="J42" s="1025"/>
      <c r="K42" s="1025"/>
      <c r="L42" s="12"/>
      <c r="M42" s="12"/>
      <c r="N42" s="12"/>
    </row>
    <row r="43" spans="1:14">
      <c r="A43" s="263"/>
      <c r="B43" s="1142" t="s">
        <v>277</v>
      </c>
      <c r="C43" s="1142"/>
      <c r="D43" s="1142"/>
      <c r="E43" s="1142"/>
      <c r="F43" s="1142"/>
      <c r="G43" s="1142"/>
      <c r="H43" s="266"/>
      <c r="I43" s="229"/>
      <c r="J43" s="1026"/>
      <c r="K43" s="1026"/>
      <c r="L43" s="12"/>
      <c r="M43" s="12"/>
      <c r="N43" s="12"/>
    </row>
    <row r="44" spans="1:14">
      <c r="A44" s="263"/>
      <c r="B44" s="263"/>
      <c r="C44" s="284"/>
      <c r="D44" s="284"/>
      <c r="E44" s="284"/>
      <c r="F44" s="284"/>
      <c r="G44" s="284"/>
      <c r="H44" s="266"/>
      <c r="I44" s="229"/>
      <c r="J44" s="1026"/>
      <c r="K44" s="1026"/>
      <c r="L44" s="12"/>
      <c r="M44" s="12"/>
      <c r="N44" s="12"/>
    </row>
    <row r="45" spans="1:14" ht="6.75" customHeight="1">
      <c r="J45" s="12"/>
      <c r="K45" s="12"/>
      <c r="L45" s="12"/>
      <c r="M45" s="12"/>
      <c r="N45" s="12"/>
    </row>
    <row r="46" spans="1:14" ht="16.5" customHeight="1">
      <c r="J46" s="12"/>
      <c r="K46" s="12"/>
      <c r="L46" s="12"/>
      <c r="M46" s="12"/>
      <c r="N46" s="12"/>
    </row>
    <row r="47" spans="1:14">
      <c r="B47" s="242"/>
      <c r="J47" s="12"/>
      <c r="K47" s="12"/>
      <c r="L47" s="12"/>
      <c r="M47" s="12"/>
      <c r="N47" s="12"/>
    </row>
    <row r="48" spans="1:14">
      <c r="J48" s="12"/>
      <c r="K48" s="12"/>
      <c r="L48" s="12"/>
      <c r="M48" s="12"/>
      <c r="N48" s="12"/>
    </row>
    <row r="49" spans="2:14" ht="13.5">
      <c r="B49" s="242"/>
      <c r="C49" s="242"/>
      <c r="D49" s="242"/>
      <c r="E49" s="242"/>
      <c r="F49" s="242"/>
      <c r="G49" s="242"/>
      <c r="J49" s="1023"/>
      <c r="K49" s="1023"/>
      <c r="L49" s="12"/>
      <c r="M49" s="12"/>
      <c r="N49" s="12"/>
    </row>
    <row r="51" spans="2:14" ht="12" customHeight="1">
      <c r="B51" s="227"/>
      <c r="C51" s="227"/>
      <c r="D51" s="227"/>
      <c r="E51" s="227"/>
      <c r="F51" s="227"/>
      <c r="G51" s="227"/>
      <c r="J51" s="227"/>
      <c r="K51" s="227"/>
    </row>
  </sheetData>
  <sheetProtection password="CF4C" sheet="1" objects="1" scenarios="1"/>
  <customSheetViews>
    <customSheetView guid="{E9B43C8C-734F-433D-AD37-344F9303B5CC}" showPageBreaks="1" showGridLines="0" showRuler="0">
      <pane ySplit="14.2" topLeftCell="A37" activePane="bottomLeft"/>
      <selection pane="bottomLeft" activeCell="E42" sqref="E42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1"/>
      <headerFooter alignWithMargins="0"/>
    </customSheetView>
    <customSheetView guid="{9BF398E0-33D8-4E64-94A2-9B7C822C8383}" showPageBreaks="1" showGridLines="0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2"/>
      <headerFooter alignWithMargins="0"/>
    </customSheetView>
    <customSheetView guid="{6DCFE324-2DF9-4BB0-88BD-A4AD316C7A9E}" showGridLines="0" hiddenRows="1" hiddenColumns="1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3"/>
      <headerFooter alignWithMargins="0"/>
    </customSheetView>
    <customSheetView guid="{48A744A8-8180-4A3B-8108-49EF41816969}" showGridLines="0" hiddenColumns="1" showRuler="0">
      <pane ySplit="16" topLeftCell="A40" activePane="bottomLeft"/>
      <selection pane="bottomLeft" activeCell="B49" sqref="B49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4"/>
      <headerFooter alignWithMargins="0"/>
    </customSheetView>
    <customSheetView guid="{9E220BD5-A526-40BD-8239-3A0461590922}" showGridLines="0" showRuler="0" topLeftCell="A34">
      <pane ySplit="17.176470588235293" topLeftCell="A37" activePane="bottomLeft"/>
      <selection pane="bottomLeft" activeCell="B46" sqref="B46:I46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5"/>
      <headerFooter alignWithMargins="0"/>
    </customSheetView>
  </customSheetViews>
  <mergeCells count="6">
    <mergeCell ref="B2:G2"/>
    <mergeCell ref="B42:G42"/>
    <mergeCell ref="B43:G43"/>
    <mergeCell ref="B4:B5"/>
    <mergeCell ref="G4:G5"/>
    <mergeCell ref="B41:G41"/>
  </mergeCells>
  <phoneticPr fontId="9" type="noConversion"/>
  <printOptions horizontalCentered="1"/>
  <pageMargins left="0.19685039370078741" right="0.19685039370078741" top="0.59055118110236227" bottom="0.59055118110236227" header="0.39370078740157483" footer="0.39370078740157483"/>
  <pageSetup orientation="portrait" r:id="rId6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2" enableFormatConditionsCalculation="0">
    <tabColor theme="9" tint="-0.249977111117893"/>
    <pageSetUpPr fitToPage="1"/>
  </sheetPr>
  <dimension ref="A1:L64"/>
  <sheetViews>
    <sheetView showGridLines="0" zoomScale="80" zoomScaleNormal="80" workbookViewId="0">
      <selection activeCell="L43" sqref="L43"/>
    </sheetView>
  </sheetViews>
  <sheetFormatPr baseColWidth="10" defaultRowHeight="12.75"/>
  <cols>
    <col min="1" max="1" width="1.7109375" customWidth="1"/>
    <col min="2" max="2" width="22.7109375" customWidth="1"/>
    <col min="3" max="6" width="15.85546875" bestFit="1" customWidth="1"/>
    <col min="7" max="7" width="13.5703125" bestFit="1" customWidth="1"/>
    <col min="8" max="8" width="17.140625" bestFit="1" customWidth="1"/>
    <col min="9" max="9" width="1.85546875" customWidth="1"/>
    <col min="10" max="10" width="11.7109375" customWidth="1"/>
    <col min="12" max="12" width="12.85546875" bestFit="1" customWidth="1"/>
  </cols>
  <sheetData>
    <row r="1" spans="1:12" s="46" customFormat="1" ht="12" customHeight="1">
      <c r="A1" s="261"/>
      <c r="B1" s="259"/>
      <c r="C1" s="260"/>
      <c r="D1" s="260"/>
      <c r="E1" s="260"/>
      <c r="F1" s="260"/>
      <c r="G1" s="260"/>
      <c r="H1" s="260"/>
      <c r="I1" s="261"/>
    </row>
    <row r="2" spans="1:12" ht="15" customHeight="1">
      <c r="A2" s="263"/>
      <c r="B2" s="1136" t="s">
        <v>523</v>
      </c>
      <c r="C2" s="1136"/>
      <c r="D2" s="1136"/>
      <c r="E2" s="1136"/>
      <c r="F2" s="1136"/>
      <c r="G2" s="1136"/>
      <c r="H2" s="423"/>
      <c r="I2" s="263"/>
    </row>
    <row r="3" spans="1:12" ht="15" customHeight="1" thickBot="1">
      <c r="A3" s="263"/>
      <c r="B3" s="419" t="s">
        <v>112</v>
      </c>
      <c r="C3" s="419"/>
      <c r="D3" s="419"/>
      <c r="E3" s="419"/>
      <c r="F3" s="419"/>
      <c r="G3" s="419"/>
      <c r="H3" s="419"/>
      <c r="I3" s="263"/>
    </row>
    <row r="4" spans="1:12" ht="18" customHeight="1" thickBot="1">
      <c r="A4" s="263"/>
      <c r="B4" s="1143" t="s">
        <v>230</v>
      </c>
      <c r="C4" s="461" t="s">
        <v>291</v>
      </c>
      <c r="D4" s="462"/>
      <c r="E4" s="461"/>
      <c r="F4" s="462"/>
      <c r="G4" s="462"/>
      <c r="H4" s="1129" t="s">
        <v>255</v>
      </c>
      <c r="I4" s="263"/>
    </row>
    <row r="5" spans="1:12" ht="32.25" customHeight="1" thickBot="1">
      <c r="A5" s="263"/>
      <c r="B5" s="1143"/>
      <c r="C5" s="453" t="s">
        <v>289</v>
      </c>
      <c r="D5" s="453" t="s">
        <v>290</v>
      </c>
      <c r="E5" s="453" t="s">
        <v>292</v>
      </c>
      <c r="F5" s="453" t="s">
        <v>293</v>
      </c>
      <c r="G5" s="993" t="s">
        <v>601</v>
      </c>
      <c r="H5" s="1130"/>
      <c r="I5" s="263"/>
    </row>
    <row r="6" spans="1:12" ht="15" customHeight="1" thickBot="1">
      <c r="A6" s="263"/>
      <c r="B6" s="458" t="s">
        <v>6</v>
      </c>
      <c r="C6" s="481">
        <v>73.940808348725497</v>
      </c>
      <c r="D6" s="481">
        <v>93.14627439177471</v>
      </c>
      <c r="E6" s="481">
        <v>0</v>
      </c>
      <c r="F6" s="481">
        <v>61.474712300641869</v>
      </c>
      <c r="G6" s="487">
        <v>73.91941602</v>
      </c>
      <c r="H6" s="482">
        <v>302.48121106114206</v>
      </c>
      <c r="I6" s="263"/>
    </row>
    <row r="7" spans="1:12" ht="15" customHeight="1" thickBot="1">
      <c r="A7" s="263"/>
      <c r="B7" s="459" t="s">
        <v>7</v>
      </c>
      <c r="C7" s="480">
        <v>204.90529219971552</v>
      </c>
      <c r="D7" s="480">
        <v>398.86756374538828</v>
      </c>
      <c r="E7" s="480">
        <v>88.889378145545223</v>
      </c>
      <c r="F7" s="480">
        <v>40.984442144563104</v>
      </c>
      <c r="G7" s="488">
        <v>10.519895999999999</v>
      </c>
      <c r="H7" s="482">
        <v>744.16657223521224</v>
      </c>
      <c r="I7" s="285"/>
    </row>
    <row r="8" spans="1:12" ht="15" customHeight="1" thickBot="1">
      <c r="A8" s="263"/>
      <c r="B8" s="458" t="s">
        <v>8</v>
      </c>
      <c r="C8" s="481">
        <v>54.519383379801042</v>
      </c>
      <c r="D8" s="481">
        <v>101.93285900157771</v>
      </c>
      <c r="E8" s="481">
        <v>72.048434</v>
      </c>
      <c r="F8" s="481">
        <v>97.386012292160714</v>
      </c>
      <c r="G8" s="487">
        <v>0</v>
      </c>
      <c r="H8" s="482">
        <v>325.88668867353948</v>
      </c>
      <c r="I8" s="263"/>
    </row>
    <row r="9" spans="1:12" ht="15" customHeight="1" thickBot="1">
      <c r="A9" s="263"/>
      <c r="B9" s="459" t="s">
        <v>9</v>
      </c>
      <c r="C9" s="480">
        <v>252.44244124962339</v>
      </c>
      <c r="D9" s="480">
        <v>16.238850478717062</v>
      </c>
      <c r="E9" s="480">
        <v>0</v>
      </c>
      <c r="F9" s="480">
        <v>41.712656378031653</v>
      </c>
      <c r="G9" s="488">
        <v>4.6029419999999996</v>
      </c>
      <c r="H9" s="482">
        <v>314.99689010637212</v>
      </c>
      <c r="I9" s="263"/>
    </row>
    <row r="10" spans="1:12" ht="15" customHeight="1" thickBot="1">
      <c r="A10" s="263"/>
      <c r="B10" s="458" t="s">
        <v>12</v>
      </c>
      <c r="C10" s="481">
        <v>285.34925232945318</v>
      </c>
      <c r="D10" s="481">
        <v>139.95675857942427</v>
      </c>
      <c r="E10" s="481">
        <v>1.3582965900000001</v>
      </c>
      <c r="F10" s="481">
        <v>46.702781021852559</v>
      </c>
      <c r="G10" s="487">
        <v>31.619670539999998</v>
      </c>
      <c r="H10" s="482">
        <v>504.98675906073004</v>
      </c>
      <c r="I10" s="263"/>
    </row>
    <row r="11" spans="1:12" ht="15" customHeight="1" thickBot="1">
      <c r="A11" s="263"/>
      <c r="B11" s="459" t="s">
        <v>13</v>
      </c>
      <c r="C11" s="480">
        <v>268.08733122616405</v>
      </c>
      <c r="D11" s="480">
        <v>203.40096962608601</v>
      </c>
      <c r="E11" s="480">
        <v>374.30471890200312</v>
      </c>
      <c r="F11" s="480">
        <v>219.59501851865784</v>
      </c>
      <c r="G11" s="488">
        <v>16.5</v>
      </c>
      <c r="H11" s="482">
        <v>1081.888038272911</v>
      </c>
      <c r="I11" s="263"/>
    </row>
    <row r="12" spans="1:12" ht="15" customHeight="1" thickBot="1">
      <c r="A12" s="263"/>
      <c r="B12" s="458" t="s">
        <v>223</v>
      </c>
      <c r="C12" s="481">
        <v>151.54006291463827</v>
      </c>
      <c r="D12" s="481">
        <v>202.71651836248083</v>
      </c>
      <c r="E12" s="481">
        <v>12.521331131138274</v>
      </c>
      <c r="F12" s="481">
        <v>69.109908102853865</v>
      </c>
      <c r="G12" s="487">
        <v>112.394505</v>
      </c>
      <c r="H12" s="482">
        <v>548.28232551111125</v>
      </c>
      <c r="I12" s="263"/>
      <c r="L12" s="42"/>
    </row>
    <row r="13" spans="1:12" ht="15" customHeight="1" thickBot="1">
      <c r="A13" s="263"/>
      <c r="B13" s="459" t="s">
        <v>11</v>
      </c>
      <c r="C13" s="480">
        <v>23.474700245929878</v>
      </c>
      <c r="D13" s="480">
        <v>19.488694920129525</v>
      </c>
      <c r="E13" s="480">
        <v>0</v>
      </c>
      <c r="F13" s="480">
        <v>44.555383327607096</v>
      </c>
      <c r="G13" s="488">
        <v>1.972747</v>
      </c>
      <c r="H13" s="482">
        <v>89.491525493666501</v>
      </c>
      <c r="I13" s="263"/>
    </row>
    <row r="14" spans="1:12" ht="15" customHeight="1" thickBot="1">
      <c r="A14" s="263"/>
      <c r="B14" s="458" t="s">
        <v>14</v>
      </c>
      <c r="C14" s="481">
        <v>356.86124312943815</v>
      </c>
      <c r="D14" s="481">
        <v>565.10662276889832</v>
      </c>
      <c r="E14" s="481">
        <v>49.049875</v>
      </c>
      <c r="F14" s="481">
        <v>1828.5962214064284</v>
      </c>
      <c r="G14" s="487">
        <v>119.273201</v>
      </c>
      <c r="H14" s="482">
        <v>2918.8871633047647</v>
      </c>
      <c r="I14" s="263"/>
    </row>
    <row r="15" spans="1:12" ht="15" customHeight="1" thickBot="1">
      <c r="A15" s="263"/>
      <c r="B15" s="459" t="s">
        <v>15</v>
      </c>
      <c r="C15" s="480">
        <v>104.67035878847231</v>
      </c>
      <c r="D15" s="480">
        <v>161.31565076620811</v>
      </c>
      <c r="E15" s="480">
        <v>31.612870999999998</v>
      </c>
      <c r="F15" s="480">
        <v>121.27526612155582</v>
      </c>
      <c r="G15" s="488">
        <v>67.585142000000005</v>
      </c>
      <c r="H15" s="482">
        <v>486.45928867623627</v>
      </c>
      <c r="I15" s="263"/>
    </row>
    <row r="16" spans="1:12" ht="15" customHeight="1" thickBot="1">
      <c r="A16" s="263"/>
      <c r="B16" s="458" t="s">
        <v>16</v>
      </c>
      <c r="C16" s="481">
        <v>232.34421548993012</v>
      </c>
      <c r="D16" s="481">
        <v>120.29378692293807</v>
      </c>
      <c r="E16" s="481">
        <v>115.93805893357803</v>
      </c>
      <c r="F16" s="481">
        <v>295.15098925940782</v>
      </c>
      <c r="G16" s="487">
        <v>80.483853330000002</v>
      </c>
      <c r="H16" s="482">
        <v>844.21090393585405</v>
      </c>
      <c r="I16" s="263"/>
    </row>
    <row r="17" spans="1:9" ht="15" customHeight="1" thickBot="1">
      <c r="A17" s="263"/>
      <c r="B17" s="459" t="s">
        <v>17</v>
      </c>
      <c r="C17" s="480">
        <v>146.58224313267314</v>
      </c>
      <c r="D17" s="480">
        <v>200.11096427708395</v>
      </c>
      <c r="E17" s="480">
        <v>154.59209261000001</v>
      </c>
      <c r="F17" s="480">
        <v>196.55482858471484</v>
      </c>
      <c r="G17" s="488">
        <v>22.909269890000001</v>
      </c>
      <c r="H17" s="482">
        <v>720.74939849447196</v>
      </c>
      <c r="I17" s="263"/>
    </row>
    <row r="18" spans="1:9" ht="15" customHeight="1" thickBot="1">
      <c r="A18" s="263"/>
      <c r="B18" s="458" t="s">
        <v>18</v>
      </c>
      <c r="C18" s="481">
        <v>124.83712030169292</v>
      </c>
      <c r="D18" s="481">
        <v>85.543169242175367</v>
      </c>
      <c r="E18" s="481">
        <v>47.653821157096637</v>
      </c>
      <c r="F18" s="481">
        <v>42.605639944493781</v>
      </c>
      <c r="G18" s="487">
        <v>53.137520439999996</v>
      </c>
      <c r="H18" s="482">
        <v>353.77727108545866</v>
      </c>
      <c r="I18" s="263"/>
    </row>
    <row r="19" spans="1:9" ht="15" customHeight="1" thickBot="1">
      <c r="A19" s="263"/>
      <c r="B19" s="459" t="s">
        <v>19</v>
      </c>
      <c r="C19" s="480">
        <v>303.0777099450134</v>
      </c>
      <c r="D19" s="480">
        <v>372.40386000723362</v>
      </c>
      <c r="E19" s="480">
        <v>99.666398716725965</v>
      </c>
      <c r="F19" s="480">
        <v>272.81853168959498</v>
      </c>
      <c r="G19" s="488">
        <v>80.256763000000007</v>
      </c>
      <c r="H19" s="482">
        <v>1128.2232633585681</v>
      </c>
      <c r="I19" s="263"/>
    </row>
    <row r="20" spans="1:9" ht="15" customHeight="1" thickBot="1">
      <c r="A20" s="263"/>
      <c r="B20" s="458" t="s">
        <v>20</v>
      </c>
      <c r="C20" s="481">
        <v>538.90264355664419</v>
      </c>
      <c r="D20" s="481">
        <v>561.36243384490206</v>
      </c>
      <c r="E20" s="481">
        <v>216.22258434709363</v>
      </c>
      <c r="F20" s="481">
        <v>371.66226944915803</v>
      </c>
      <c r="G20" s="487">
        <v>275.53074600000002</v>
      </c>
      <c r="H20" s="482">
        <v>1963.6806771977976</v>
      </c>
      <c r="I20" s="263"/>
    </row>
    <row r="21" spans="1:9" ht="15" customHeight="1" thickBot="1">
      <c r="A21" s="263"/>
      <c r="B21" s="459" t="s">
        <v>224</v>
      </c>
      <c r="C21" s="480">
        <v>135.9158555439675</v>
      </c>
      <c r="D21" s="480">
        <v>209.03162986809963</v>
      </c>
      <c r="E21" s="480">
        <v>7.8573972823137703E-2</v>
      </c>
      <c r="F21" s="480">
        <v>249.55230009609315</v>
      </c>
      <c r="G21" s="488">
        <v>58.93</v>
      </c>
      <c r="H21" s="482">
        <v>653.50835948098336</v>
      </c>
      <c r="I21" s="263"/>
    </row>
    <row r="22" spans="1:9" ht="15" customHeight="1" thickBot="1">
      <c r="A22" s="263"/>
      <c r="B22" s="458" t="s">
        <v>22</v>
      </c>
      <c r="C22" s="481">
        <v>123.30330619869166</v>
      </c>
      <c r="D22" s="481">
        <v>226.82873447980262</v>
      </c>
      <c r="E22" s="481">
        <v>116.20522008578332</v>
      </c>
      <c r="F22" s="481">
        <v>85.588278512582434</v>
      </c>
      <c r="G22" s="487">
        <v>31.310945</v>
      </c>
      <c r="H22" s="482">
        <v>583.23648427685998</v>
      </c>
      <c r="I22" s="263"/>
    </row>
    <row r="23" spans="1:9" ht="15" customHeight="1" thickBot="1">
      <c r="A23" s="263"/>
      <c r="B23" s="459" t="s">
        <v>23</v>
      </c>
      <c r="C23" s="480">
        <v>44.250862731564204</v>
      </c>
      <c r="D23" s="480">
        <v>52.399910224189895</v>
      </c>
      <c r="E23" s="480">
        <v>0</v>
      </c>
      <c r="F23" s="480">
        <v>109.631647</v>
      </c>
      <c r="G23" s="488">
        <v>15.12871</v>
      </c>
      <c r="H23" s="482">
        <v>221.41112995575412</v>
      </c>
      <c r="I23" s="263"/>
    </row>
    <row r="24" spans="1:9" ht="15" customHeight="1" thickBot="1">
      <c r="A24" s="263"/>
      <c r="B24" s="458" t="s">
        <v>24</v>
      </c>
      <c r="C24" s="481">
        <v>571.88243965034928</v>
      </c>
      <c r="D24" s="481">
        <v>377.51004762884043</v>
      </c>
      <c r="E24" s="481">
        <v>0</v>
      </c>
      <c r="F24" s="481">
        <v>176.92585461975233</v>
      </c>
      <c r="G24" s="487">
        <v>152.712929</v>
      </c>
      <c r="H24" s="482">
        <v>1279.031270898942</v>
      </c>
      <c r="I24" s="263"/>
    </row>
    <row r="25" spans="1:9" ht="15" customHeight="1" thickBot="1">
      <c r="A25" s="263"/>
      <c r="B25" s="459" t="s">
        <v>25</v>
      </c>
      <c r="C25" s="480">
        <v>113.70019523268491</v>
      </c>
      <c r="D25" s="480">
        <v>95.943928792296347</v>
      </c>
      <c r="E25" s="480">
        <v>5.0359373430370011</v>
      </c>
      <c r="F25" s="480">
        <v>21.716520681937087</v>
      </c>
      <c r="G25" s="488">
        <v>75.343921219999999</v>
      </c>
      <c r="H25" s="482">
        <v>311.7405032699553</v>
      </c>
      <c r="I25" s="263"/>
    </row>
    <row r="26" spans="1:9" ht="15" customHeight="1" thickBot="1">
      <c r="A26" s="263"/>
      <c r="B26" s="458" t="s">
        <v>36</v>
      </c>
      <c r="C26" s="481">
        <v>83.406057804181231</v>
      </c>
      <c r="D26" s="481">
        <v>122.85681589605034</v>
      </c>
      <c r="E26" s="481">
        <v>55.608832408432974</v>
      </c>
      <c r="F26" s="481">
        <v>132.3352561296187</v>
      </c>
      <c r="G26" s="487">
        <v>7.1140019500000005</v>
      </c>
      <c r="H26" s="482">
        <v>401.32096418828326</v>
      </c>
      <c r="I26" s="263"/>
    </row>
    <row r="27" spans="1:9" ht="15" customHeight="1" thickBot="1">
      <c r="A27" s="263"/>
      <c r="B27" s="459" t="s">
        <v>225</v>
      </c>
      <c r="C27" s="480">
        <v>1439.8600017030867</v>
      </c>
      <c r="D27" s="480">
        <v>70.961240635837882</v>
      </c>
      <c r="E27" s="480">
        <v>258.28218927262151</v>
      </c>
      <c r="F27" s="480">
        <v>45.443109478461956</v>
      </c>
      <c r="G27" s="488">
        <v>10.0265571</v>
      </c>
      <c r="H27" s="482">
        <v>1824.5730981900081</v>
      </c>
      <c r="I27" s="263"/>
    </row>
    <row r="28" spans="1:9" ht="15" customHeight="1" thickBot="1">
      <c r="A28" s="263"/>
      <c r="B28" s="458" t="s">
        <v>27</v>
      </c>
      <c r="C28" s="481">
        <v>98.990392849764916</v>
      </c>
      <c r="D28" s="481">
        <v>161.67527770081844</v>
      </c>
      <c r="E28" s="481">
        <v>26.663797859999999</v>
      </c>
      <c r="F28" s="481">
        <v>24.574169773372478</v>
      </c>
      <c r="G28" s="487">
        <v>30.058463570000001</v>
      </c>
      <c r="H28" s="482">
        <v>341.96210175395584</v>
      </c>
      <c r="I28" s="263"/>
    </row>
    <row r="29" spans="1:9" ht="15" customHeight="1" thickBot="1">
      <c r="A29" s="263"/>
      <c r="B29" s="459" t="s">
        <v>28</v>
      </c>
      <c r="C29" s="480">
        <v>38.672606691869383</v>
      </c>
      <c r="D29" s="480">
        <v>97.573051364502632</v>
      </c>
      <c r="E29" s="480">
        <v>39.625036000000001</v>
      </c>
      <c r="F29" s="480">
        <v>79.582740950643469</v>
      </c>
      <c r="G29" s="488">
        <v>25.404402999999999</v>
      </c>
      <c r="H29" s="482">
        <v>280.85783800701546</v>
      </c>
      <c r="I29" s="263"/>
    </row>
    <row r="30" spans="1:9" ht="15" customHeight="1" thickBot="1">
      <c r="A30" s="263"/>
      <c r="B30" s="458" t="s">
        <v>29</v>
      </c>
      <c r="C30" s="481">
        <v>100.754150643511</v>
      </c>
      <c r="D30" s="481">
        <v>223.00647154306782</v>
      </c>
      <c r="E30" s="481">
        <v>74.263735999999994</v>
      </c>
      <c r="F30" s="481">
        <v>146.98184847409911</v>
      </c>
      <c r="G30" s="487">
        <v>4.6257590000000004</v>
      </c>
      <c r="H30" s="482">
        <v>549.63196566067791</v>
      </c>
      <c r="I30" s="263"/>
    </row>
    <row r="31" spans="1:9" ht="15" customHeight="1" thickBot="1">
      <c r="A31" s="263"/>
      <c r="B31" s="459" t="s">
        <v>37</v>
      </c>
      <c r="C31" s="480">
        <v>149.97597255367606</v>
      </c>
      <c r="D31" s="480">
        <v>251.53077648761075</v>
      </c>
      <c r="E31" s="480">
        <v>23.678635628516812</v>
      </c>
      <c r="F31" s="480">
        <v>119.70380787108397</v>
      </c>
      <c r="G31" s="488">
        <v>10.389354000000001</v>
      </c>
      <c r="H31" s="482">
        <v>555.27854654088765</v>
      </c>
      <c r="I31" s="263"/>
    </row>
    <row r="32" spans="1:9" ht="15" customHeight="1" thickBot="1">
      <c r="A32" s="263"/>
      <c r="B32" s="458" t="s">
        <v>30</v>
      </c>
      <c r="C32" s="481">
        <v>203.12485648634222</v>
      </c>
      <c r="D32" s="481">
        <v>70.985806480879134</v>
      </c>
      <c r="E32" s="481">
        <v>0</v>
      </c>
      <c r="F32" s="481">
        <v>32.004122000000002</v>
      </c>
      <c r="G32" s="487">
        <v>95.120946000000004</v>
      </c>
      <c r="H32" s="482">
        <v>401.23573096722134</v>
      </c>
      <c r="I32" s="263"/>
    </row>
    <row r="33" spans="1:10" ht="15" customHeight="1" thickBot="1">
      <c r="A33" s="263"/>
      <c r="B33" s="459" t="s">
        <v>31</v>
      </c>
      <c r="C33" s="480">
        <v>191.83503803952698</v>
      </c>
      <c r="D33" s="480">
        <v>206.71914239699481</v>
      </c>
      <c r="E33" s="480">
        <v>65.471663683719967</v>
      </c>
      <c r="F33" s="480">
        <v>82.898447395115753</v>
      </c>
      <c r="G33" s="488">
        <v>63.064432510000003</v>
      </c>
      <c r="H33" s="482">
        <v>609.98872402535744</v>
      </c>
      <c r="I33" s="263"/>
    </row>
    <row r="34" spans="1:10" ht="15" customHeight="1" thickBot="1">
      <c r="A34" s="263"/>
      <c r="B34" s="458" t="s">
        <v>32</v>
      </c>
      <c r="C34" s="481">
        <v>12.156281434920958</v>
      </c>
      <c r="D34" s="481">
        <v>33.554492728814139</v>
      </c>
      <c r="E34" s="481">
        <v>36.801972476241971</v>
      </c>
      <c r="F34" s="481">
        <v>18.181530973062014</v>
      </c>
      <c r="G34" s="487">
        <v>15.896169159999999</v>
      </c>
      <c r="H34" s="482">
        <v>116.59044677303908</v>
      </c>
      <c r="I34" s="263"/>
    </row>
    <row r="35" spans="1:10" ht="15" customHeight="1" thickBot="1">
      <c r="A35" s="263"/>
      <c r="B35" s="459" t="s">
        <v>262</v>
      </c>
      <c r="C35" s="480">
        <v>283.72457732312466</v>
      </c>
      <c r="D35" s="480">
        <v>319.18256393671413</v>
      </c>
      <c r="E35" s="480">
        <v>14.107927472519542</v>
      </c>
      <c r="F35" s="480">
        <v>159.46590459144969</v>
      </c>
      <c r="G35" s="488">
        <v>65.398765519999998</v>
      </c>
      <c r="H35" s="482">
        <v>841.87973884380801</v>
      </c>
      <c r="I35" s="263"/>
    </row>
    <row r="36" spans="1:10" ht="15" customHeight="1" thickBot="1">
      <c r="A36" s="263"/>
      <c r="B36" s="458" t="s">
        <v>34</v>
      </c>
      <c r="C36" s="481">
        <v>62.664581054011883</v>
      </c>
      <c r="D36" s="481">
        <v>53.097852702668746</v>
      </c>
      <c r="E36" s="481">
        <v>10.712889479999999</v>
      </c>
      <c r="F36" s="481">
        <v>105.01250041360862</v>
      </c>
      <c r="G36" s="487">
        <v>3.9102787299999995</v>
      </c>
      <c r="H36" s="482">
        <v>235.39810238028923</v>
      </c>
      <c r="I36" s="263"/>
    </row>
    <row r="37" spans="1:10" ht="15" customHeight="1" thickBot="1">
      <c r="A37" s="263"/>
      <c r="B37" s="459" t="s">
        <v>35</v>
      </c>
      <c r="C37" s="480">
        <v>60.044925860770057</v>
      </c>
      <c r="D37" s="480">
        <v>169.24053298161124</v>
      </c>
      <c r="E37" s="480">
        <v>8.0600948385460374</v>
      </c>
      <c r="F37" s="480">
        <v>87.902954631584109</v>
      </c>
      <c r="G37" s="488">
        <v>70.300755899999984</v>
      </c>
      <c r="H37" s="482">
        <v>395.54926421251139</v>
      </c>
      <c r="I37" s="263"/>
    </row>
    <row r="38" spans="1:10" ht="13.5" thickBot="1">
      <c r="A38" s="263"/>
      <c r="B38" s="459" t="s">
        <v>308</v>
      </c>
      <c r="C38" s="480">
        <v>0</v>
      </c>
      <c r="D38" s="480">
        <v>2537.558399</v>
      </c>
      <c r="E38" s="480">
        <v>21.020882</v>
      </c>
      <c r="F38" s="480">
        <v>0</v>
      </c>
      <c r="G38" s="488">
        <v>0</v>
      </c>
      <c r="H38" s="482">
        <v>2558.5792809999998</v>
      </c>
      <c r="I38" s="263"/>
    </row>
    <row r="39" spans="1:10" ht="15" customHeight="1" thickBot="1">
      <c r="A39" s="263"/>
      <c r="B39" s="458" t="s">
        <v>96</v>
      </c>
      <c r="C39" s="481">
        <v>40.404518298367641</v>
      </c>
      <c r="D39" s="481">
        <v>56.566325617714725</v>
      </c>
      <c r="E39" s="481">
        <v>0</v>
      </c>
      <c r="F39" s="481">
        <v>0</v>
      </c>
      <c r="G39" s="487">
        <v>0</v>
      </c>
      <c r="H39" s="482">
        <v>96.970843916082373</v>
      </c>
      <c r="I39" s="263"/>
    </row>
    <row r="40" spans="1:10" ht="18" customHeight="1" thickBot="1">
      <c r="A40" s="263"/>
      <c r="B40" s="456" t="s">
        <v>54</v>
      </c>
      <c r="C40" s="483">
        <v>6876.2014263383262</v>
      </c>
      <c r="D40" s="483">
        <v>8578.1079774015343</v>
      </c>
      <c r="E40" s="483">
        <v>2019.4752490554231</v>
      </c>
      <c r="F40" s="483">
        <v>5427.6856541341886</v>
      </c>
      <c r="G40" s="489">
        <v>1685.4420638800002</v>
      </c>
      <c r="H40" s="482">
        <v>24586.912370809467</v>
      </c>
      <c r="I40" s="263"/>
      <c r="J40" s="705"/>
    </row>
    <row r="41" spans="1:10" ht="18.75" customHeight="1">
      <c r="A41" s="263"/>
      <c r="B41" s="1144" t="s">
        <v>610</v>
      </c>
      <c r="C41" s="1145"/>
      <c r="D41" s="1145"/>
      <c r="E41" s="1145"/>
      <c r="F41" s="1145"/>
      <c r="G41" s="1145"/>
      <c r="H41" s="426"/>
      <c r="I41" s="263"/>
    </row>
    <row r="42" spans="1:10" ht="21" customHeight="1">
      <c r="A42" s="263"/>
      <c r="B42" s="1141" t="s">
        <v>611</v>
      </c>
      <c r="C42" s="1141"/>
      <c r="D42" s="1141"/>
      <c r="E42" s="1141"/>
      <c r="F42" s="1141"/>
      <c r="G42" s="1141"/>
      <c r="H42" s="427"/>
      <c r="I42" s="263"/>
    </row>
    <row r="43" spans="1:10" ht="12.75" customHeight="1">
      <c r="A43" s="263"/>
      <c r="B43" s="1142" t="s">
        <v>277</v>
      </c>
      <c r="C43" s="1142"/>
      <c r="D43" s="1142"/>
      <c r="E43" s="1142"/>
      <c r="F43" s="1142"/>
      <c r="G43" s="1142"/>
      <c r="H43" s="706"/>
      <c r="I43" s="263"/>
    </row>
    <row r="44" spans="1:10" ht="8.25" customHeight="1">
      <c r="A44" s="263"/>
      <c r="B44" s="263"/>
      <c r="C44" s="263"/>
      <c r="D44" s="263"/>
      <c r="E44" s="263"/>
      <c r="F44" s="263"/>
      <c r="G44" s="263"/>
      <c r="H44" s="263"/>
      <c r="I44" s="263"/>
    </row>
    <row r="45" spans="1:10" ht="13.5">
      <c r="B45" s="7"/>
      <c r="C45" s="7"/>
      <c r="D45" s="7"/>
      <c r="E45" s="7"/>
      <c r="F45" s="7"/>
      <c r="G45" s="7"/>
      <c r="H45" s="7"/>
      <c r="I45" s="7"/>
    </row>
    <row r="46" spans="1:10" ht="13.5">
      <c r="B46" s="7"/>
      <c r="C46" s="7"/>
      <c r="D46" s="7"/>
      <c r="E46" s="7"/>
      <c r="F46" s="7"/>
      <c r="G46" s="7"/>
      <c r="H46" s="7"/>
      <c r="I46" s="7"/>
      <c r="J46" s="7"/>
    </row>
    <row r="47" spans="1:10" ht="13.5">
      <c r="B47" s="7"/>
      <c r="C47" s="7"/>
      <c r="D47" s="7"/>
      <c r="E47" s="7"/>
      <c r="F47" s="7"/>
      <c r="G47" s="7"/>
      <c r="H47" s="7"/>
      <c r="I47" s="7"/>
      <c r="J47" s="7"/>
    </row>
    <row r="48" spans="1:10" ht="13.5">
      <c r="B48" s="7"/>
      <c r="C48" s="7"/>
      <c r="D48" s="7"/>
      <c r="E48" s="7"/>
      <c r="F48" s="7"/>
      <c r="G48" s="7"/>
      <c r="H48" s="7"/>
      <c r="I48" s="7"/>
      <c r="J48" s="7"/>
    </row>
    <row r="49" spans="2:9" ht="12" customHeight="1">
      <c r="B49" s="1146"/>
      <c r="C49" s="1147"/>
      <c r="D49" s="1147"/>
      <c r="E49" s="1147"/>
      <c r="F49" s="1147"/>
      <c r="G49" s="1147"/>
      <c r="H49" s="1147"/>
      <c r="I49" s="7"/>
    </row>
    <row r="50" spans="2:9" ht="13.5">
      <c r="B50" s="7"/>
      <c r="C50" s="7"/>
      <c r="D50" s="7"/>
      <c r="E50" s="7"/>
      <c r="F50" s="7"/>
      <c r="G50" s="7"/>
      <c r="H50" s="7"/>
      <c r="I50" s="7"/>
    </row>
    <row r="51" spans="2:9">
      <c r="C51" s="20"/>
      <c r="D51" s="20"/>
      <c r="E51" s="20"/>
      <c r="F51" s="20"/>
      <c r="G51" s="20"/>
    </row>
    <row r="52" spans="2:9">
      <c r="C52" s="2"/>
      <c r="D52" s="2"/>
      <c r="E52" s="2"/>
      <c r="F52" s="2"/>
      <c r="G52" s="2"/>
    </row>
    <row r="60" spans="2:9" ht="0.75" customHeight="1"/>
    <row r="63" spans="2:9" ht="124.5" customHeight="1"/>
    <row r="64" spans="2:9">
      <c r="C64">
        <v>27.966917206334614</v>
      </c>
      <c r="D64">
        <v>34.888919145397843</v>
      </c>
      <c r="E64">
        <v>8.2136187683859898</v>
      </c>
      <c r="F64">
        <v>22.07550737675442</v>
      </c>
    </row>
  </sheetData>
  <sheetProtection password="CF4C" sheet="1" objects="1" scenarios="1"/>
  <customSheetViews>
    <customSheetView guid="{E9B43C8C-734F-433D-AD37-344F9303B5CC}" showPageBreaks="1" showGridLines="0" zeroValues="0" showRuler="0" topLeftCell="A33">
      <pane ySplit="17.823529411764707" topLeftCell="A37" activePane="bottomLeft"/>
      <selection pane="bottomLeft" activeCell="B47" sqref="B47:H47"/>
      <pageMargins left="0.19685039370078741" right="0.19685039370078741" top="0.78740157480314965" bottom="0.78740157480314965" header="0" footer="0"/>
      <printOptions horizontalCentered="1"/>
      <pageSetup orientation="portrait" r:id="rId1"/>
      <headerFooter alignWithMargins="0"/>
    </customSheetView>
    <customSheetView guid="{9BF398E0-33D8-4E64-94A2-9B7C822C8383}" showPageBreaks="1" showGridLines="0" zeroValues="0" fitToPage="1" showRuler="0">
      <pageMargins left="0.19685039370078741" right="0.19685039370078741" top="0.78740157480314965" bottom="0.78740157480314965" header="0" footer="0"/>
      <printOptions horizontalCentered="1"/>
      <pageSetup scale="72" orientation="portrait" r:id="rId2"/>
      <headerFooter alignWithMargins="0"/>
    </customSheetView>
    <customSheetView guid="{6DCFE324-2DF9-4BB0-88BD-A4AD316C7A9E}" showGridLines="0" zeroValues="0" fitToPage="1" hiddenRows="1" hiddenColumns="1" showRuler="0">
      <pageMargins left="0.19685039370078741" right="0.19685039370078741" top="0.78740157480314965" bottom="0.78740157480314965" header="0" footer="0"/>
      <printOptions horizontalCentered="1"/>
      <pageSetup scale="75" orientation="portrait" r:id="rId3"/>
      <headerFooter alignWithMargins="0"/>
    </customSheetView>
    <customSheetView guid="{48A744A8-8180-4A3B-8108-49EF41816969}" showGridLines="0" zeroValues="0" fitToPage="1" hiddenColumns="1" showRuler="0">
      <pane ySplit="16" topLeftCell="A41" activePane="bottomLeft"/>
      <selection pane="bottomLeft" activeCell="J43" sqref="J43"/>
      <pageMargins left="0.19685039370078741" right="0.19685039370078741" top="0.78740157480314965" bottom="0.78740157480314965" header="0" footer="0"/>
      <printOptions horizontalCentered="1"/>
      <pageSetup orientation="portrait" r:id="rId4"/>
      <headerFooter alignWithMargins="0"/>
    </customSheetView>
    <customSheetView guid="{9E220BD5-A526-40BD-8239-3A0461590922}" showGridLines="0" zeroValues="0" showRuler="0" topLeftCell="A33">
      <pane ySplit="17.823529411764707" topLeftCell="A37" activePane="bottomLeft"/>
      <selection pane="bottomLeft" activeCell="B47" sqref="B47:H47"/>
      <pageMargins left="0.19685039370078741" right="0.19685039370078741" top="0.78740157480314965" bottom="0.78740157480314965" header="0" footer="0"/>
      <printOptions horizontalCentered="1"/>
      <pageSetup orientation="portrait" r:id="rId5"/>
      <headerFooter alignWithMargins="0"/>
    </customSheetView>
  </customSheetViews>
  <mergeCells count="7">
    <mergeCell ref="B2:G2"/>
    <mergeCell ref="B41:G41"/>
    <mergeCell ref="B49:H49"/>
    <mergeCell ref="B4:B5"/>
    <mergeCell ref="H4:H5"/>
    <mergeCell ref="B42:G42"/>
    <mergeCell ref="B43:G43"/>
  </mergeCells>
  <phoneticPr fontId="9" type="noConversion"/>
  <printOptions horizontalCentered="1"/>
  <pageMargins left="0.19685039370078741" right="0.19685039370078741" top="0.78740157480314965" bottom="0.78740157480314965" header="0" footer="0"/>
  <pageSetup scale="86" orientation="portrait" r:id="rId6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3" enableFormatConditionsCalculation="0">
    <tabColor theme="9" tint="-0.249977111117893"/>
    <pageSetUpPr fitToPage="1"/>
  </sheetPr>
  <dimension ref="A1:J49"/>
  <sheetViews>
    <sheetView showGridLines="0" zoomScale="75" zoomScaleNormal="75" workbookViewId="0">
      <selection activeCell="L11" sqref="L11"/>
    </sheetView>
  </sheetViews>
  <sheetFormatPr baseColWidth="10" defaultRowHeight="12.75"/>
  <cols>
    <col min="1" max="1" width="2.42578125" customWidth="1"/>
    <col min="2" max="2" width="22.7109375" customWidth="1"/>
    <col min="3" max="6" width="13.7109375" customWidth="1"/>
    <col min="7" max="7" width="14.7109375" customWidth="1"/>
    <col min="8" max="8" width="2.42578125" customWidth="1"/>
    <col min="9" max="9" width="12.42578125" bestFit="1" customWidth="1"/>
  </cols>
  <sheetData>
    <row r="1" spans="1:8" s="46" customFormat="1" ht="12" customHeight="1">
      <c r="A1" s="261"/>
      <c r="B1" s="259"/>
      <c r="C1" s="260"/>
      <c r="D1" s="260"/>
      <c r="E1" s="260"/>
      <c r="F1" s="260"/>
      <c r="G1" s="260"/>
      <c r="H1" s="261"/>
    </row>
    <row r="2" spans="1:8" s="24" customFormat="1" ht="15" customHeight="1">
      <c r="A2" s="263"/>
      <c r="B2" s="1136" t="s">
        <v>524</v>
      </c>
      <c r="C2" s="1136"/>
      <c r="D2" s="1136"/>
      <c r="E2" s="1136"/>
      <c r="F2" s="1136"/>
      <c r="G2" s="1136"/>
      <c r="H2" s="266"/>
    </row>
    <row r="3" spans="1:8" s="24" customFormat="1" ht="14.25" customHeight="1" thickBot="1">
      <c r="A3" s="263"/>
      <c r="B3" s="419" t="s">
        <v>112</v>
      </c>
      <c r="C3" s="420"/>
      <c r="D3" s="420"/>
      <c r="E3" s="420"/>
      <c r="F3" s="420"/>
      <c r="G3" s="420"/>
      <c r="H3" s="266"/>
    </row>
    <row r="4" spans="1:8" s="23" customFormat="1" ht="18" customHeight="1" thickBot="1">
      <c r="A4" s="286"/>
      <c r="B4" s="1143" t="s">
        <v>230</v>
      </c>
      <c r="C4" s="457" t="s">
        <v>279</v>
      </c>
      <c r="D4" s="457"/>
      <c r="E4" s="457"/>
      <c r="F4" s="457"/>
      <c r="G4" s="1129" t="s">
        <v>255</v>
      </c>
      <c r="H4" s="463"/>
    </row>
    <row r="5" spans="1:8" s="23" customFormat="1" ht="18" customHeight="1" thickBot="1">
      <c r="A5" s="286"/>
      <c r="B5" s="1143"/>
      <c r="C5" s="440" t="s">
        <v>280</v>
      </c>
      <c r="D5" s="440" t="s">
        <v>281</v>
      </c>
      <c r="E5" s="440" t="s">
        <v>282</v>
      </c>
      <c r="F5" s="440" t="s">
        <v>300</v>
      </c>
      <c r="G5" s="1130"/>
      <c r="H5" s="463"/>
    </row>
    <row r="6" spans="1:8" ht="15" customHeight="1" thickBot="1">
      <c r="A6" s="263"/>
      <c r="B6" s="458" t="s">
        <v>6</v>
      </c>
      <c r="C6" s="481">
        <v>23.252809139999997</v>
      </c>
      <c r="D6" s="481">
        <v>3.10917501</v>
      </c>
      <c r="E6" s="481">
        <v>0</v>
      </c>
      <c r="F6" s="481">
        <v>0</v>
      </c>
      <c r="G6" s="483">
        <v>26.361984149999998</v>
      </c>
      <c r="H6" s="445"/>
    </row>
    <row r="7" spans="1:8" ht="15" customHeight="1" thickBot="1">
      <c r="A7" s="263"/>
      <c r="B7" s="459" t="s">
        <v>7</v>
      </c>
      <c r="C7" s="480">
        <v>50.510653520000005</v>
      </c>
      <c r="D7" s="480">
        <v>44.486738439999996</v>
      </c>
      <c r="E7" s="480">
        <v>0</v>
      </c>
      <c r="F7" s="480">
        <v>0.66855542000000001</v>
      </c>
      <c r="G7" s="483">
        <v>95.665947380000006</v>
      </c>
      <c r="H7" s="445"/>
    </row>
    <row r="8" spans="1:8" ht="15" customHeight="1" thickBot="1">
      <c r="A8" s="263"/>
      <c r="B8" s="458" t="s">
        <v>8</v>
      </c>
      <c r="C8" s="481">
        <v>54.237010509999998</v>
      </c>
      <c r="D8" s="481">
        <v>0</v>
      </c>
      <c r="E8" s="481">
        <v>0.16548279999999999</v>
      </c>
      <c r="F8" s="481">
        <v>0</v>
      </c>
      <c r="G8" s="483">
        <v>54.402493309999997</v>
      </c>
      <c r="H8" s="445"/>
    </row>
    <row r="9" spans="1:8" ht="15" customHeight="1" thickBot="1">
      <c r="A9" s="263"/>
      <c r="B9" s="459" t="s">
        <v>9</v>
      </c>
      <c r="C9" s="480">
        <v>64.174024110000005</v>
      </c>
      <c r="D9" s="480">
        <v>24.247932219999999</v>
      </c>
      <c r="E9" s="480">
        <v>5.4427820900000006</v>
      </c>
      <c r="F9" s="480">
        <v>0</v>
      </c>
      <c r="G9" s="483">
        <v>93.864738419999995</v>
      </c>
      <c r="H9" s="445"/>
    </row>
    <row r="10" spans="1:8" ht="15" customHeight="1" thickBot="1">
      <c r="A10" s="263"/>
      <c r="B10" s="458" t="s">
        <v>12</v>
      </c>
      <c r="C10" s="481">
        <v>391.35018264550001</v>
      </c>
      <c r="D10" s="481">
        <v>64.305043842000003</v>
      </c>
      <c r="E10" s="481">
        <v>29.820599142499997</v>
      </c>
      <c r="F10" s="481">
        <v>6.9736000000000006E-2</v>
      </c>
      <c r="G10" s="483">
        <v>485.54556163000001</v>
      </c>
      <c r="H10" s="445"/>
    </row>
    <row r="11" spans="1:8" ht="15" customHeight="1" thickBot="1">
      <c r="A11" s="263"/>
      <c r="B11" s="459" t="s">
        <v>13</v>
      </c>
      <c r="C11" s="480">
        <v>155.63883806999999</v>
      </c>
      <c r="D11" s="480">
        <v>93.082529360000009</v>
      </c>
      <c r="E11" s="480">
        <v>0</v>
      </c>
      <c r="F11" s="480">
        <v>0.48134322999999996</v>
      </c>
      <c r="G11" s="483">
        <v>249.20271065999998</v>
      </c>
      <c r="H11" s="445"/>
    </row>
    <row r="12" spans="1:8" ht="15" customHeight="1" thickBot="1">
      <c r="A12" s="263"/>
      <c r="B12" s="458" t="s">
        <v>223</v>
      </c>
      <c r="C12" s="481">
        <v>48.72901366</v>
      </c>
      <c r="D12" s="481">
        <v>14.382866029999999</v>
      </c>
      <c r="E12" s="481">
        <v>0</v>
      </c>
      <c r="F12" s="481">
        <v>0</v>
      </c>
      <c r="G12" s="483">
        <v>63.111879689999995</v>
      </c>
      <c r="H12" s="445"/>
    </row>
    <row r="13" spans="1:8" ht="15" customHeight="1" thickBot="1">
      <c r="A13" s="263"/>
      <c r="B13" s="459" t="s">
        <v>11</v>
      </c>
      <c r="C13" s="480">
        <v>23.937692859999999</v>
      </c>
      <c r="D13" s="480">
        <v>3.3798504300000003</v>
      </c>
      <c r="E13" s="480">
        <v>0.52757959999999993</v>
      </c>
      <c r="F13" s="480">
        <v>0</v>
      </c>
      <c r="G13" s="483">
        <v>27.845122889999999</v>
      </c>
      <c r="H13" s="445"/>
    </row>
    <row r="14" spans="1:8" ht="15" customHeight="1" thickBot="1">
      <c r="A14" s="263"/>
      <c r="B14" s="458" t="s">
        <v>14</v>
      </c>
      <c r="C14" s="481">
        <v>5.5935480000000002</v>
      </c>
      <c r="D14" s="481">
        <v>0</v>
      </c>
      <c r="E14" s="481">
        <v>0</v>
      </c>
      <c r="F14" s="481">
        <v>0</v>
      </c>
      <c r="G14" s="483">
        <v>5.5935480000000002</v>
      </c>
      <c r="H14" s="445"/>
    </row>
    <row r="15" spans="1:8" ht="15" customHeight="1" thickBot="1">
      <c r="A15" s="263"/>
      <c r="B15" s="459" t="s">
        <v>15</v>
      </c>
      <c r="C15" s="480">
        <v>129.66374533999999</v>
      </c>
      <c r="D15" s="480">
        <v>51.442748380000005</v>
      </c>
      <c r="E15" s="480">
        <v>6.9297144899999994</v>
      </c>
      <c r="F15" s="480">
        <v>0</v>
      </c>
      <c r="G15" s="483">
        <v>188.03620821000001</v>
      </c>
      <c r="H15" s="445"/>
    </row>
    <row r="16" spans="1:8" ht="15" customHeight="1" thickBot="1">
      <c r="A16" s="263"/>
      <c r="B16" s="458" t="s">
        <v>16</v>
      </c>
      <c r="C16" s="481">
        <v>83.870644720000001</v>
      </c>
      <c r="D16" s="481">
        <v>36.571661209375002</v>
      </c>
      <c r="E16" s="481">
        <v>0.90630367000000001</v>
      </c>
      <c r="F16" s="481">
        <v>0.49707857</v>
      </c>
      <c r="G16" s="483">
        <v>121.84568816937501</v>
      </c>
      <c r="H16" s="445"/>
    </row>
    <row r="17" spans="1:8" ht="15" customHeight="1" thickBot="1">
      <c r="A17" s="263"/>
      <c r="B17" s="459" t="s">
        <v>17</v>
      </c>
      <c r="C17" s="480">
        <v>437.56122669000001</v>
      </c>
      <c r="D17" s="480">
        <v>70.256559849999988</v>
      </c>
      <c r="E17" s="480">
        <v>31.476882980000003</v>
      </c>
      <c r="F17" s="480">
        <v>3.8438170300000003</v>
      </c>
      <c r="G17" s="483">
        <v>543.13848654999993</v>
      </c>
      <c r="H17" s="445"/>
    </row>
    <row r="18" spans="1:8" ht="15" customHeight="1" thickBot="1">
      <c r="A18" s="263"/>
      <c r="B18" s="458" t="s">
        <v>18</v>
      </c>
      <c r="C18" s="481">
        <v>149.07835763999998</v>
      </c>
      <c r="D18" s="481">
        <v>101.23239366850001</v>
      </c>
      <c r="E18" s="481">
        <v>21.7047947505</v>
      </c>
      <c r="F18" s="481">
        <v>0.86103099999999999</v>
      </c>
      <c r="G18" s="483">
        <v>272.876577059</v>
      </c>
      <c r="H18" s="445"/>
    </row>
    <row r="19" spans="1:8" ht="15" customHeight="1" thickBot="1">
      <c r="A19" s="263"/>
      <c r="B19" s="459" t="s">
        <v>19</v>
      </c>
      <c r="C19" s="480">
        <v>92.919650869999998</v>
      </c>
      <c r="D19" s="480">
        <v>63.067861829999998</v>
      </c>
      <c r="E19" s="480">
        <v>25.57660637</v>
      </c>
      <c r="F19" s="480">
        <v>16.47555822</v>
      </c>
      <c r="G19" s="483">
        <v>198.03967729000001</v>
      </c>
      <c r="H19" s="445"/>
    </row>
    <row r="20" spans="1:8" ht="15" customHeight="1" thickBot="1">
      <c r="A20" s="263"/>
      <c r="B20" s="458" t="s">
        <v>20</v>
      </c>
      <c r="C20" s="481">
        <v>116.63570854000001</v>
      </c>
      <c r="D20" s="481">
        <v>1.27023302</v>
      </c>
      <c r="E20" s="481">
        <v>11.970368949999999</v>
      </c>
      <c r="F20" s="481">
        <v>7.2046830999999996</v>
      </c>
      <c r="G20" s="483">
        <v>137.08099361000004</v>
      </c>
      <c r="H20" s="445"/>
    </row>
    <row r="21" spans="1:8" ht="15" customHeight="1" thickBot="1">
      <c r="A21" s="263"/>
      <c r="B21" s="459" t="s">
        <v>224</v>
      </c>
      <c r="C21" s="480">
        <v>150.91422675999999</v>
      </c>
      <c r="D21" s="480">
        <v>68.653130810000008</v>
      </c>
      <c r="E21" s="480">
        <v>26.727138249999999</v>
      </c>
      <c r="F21" s="480">
        <v>3.83941825</v>
      </c>
      <c r="G21" s="483">
        <v>250.13391407</v>
      </c>
      <c r="H21" s="445"/>
    </row>
    <row r="22" spans="1:8" ht="15" customHeight="1" thickBot="1">
      <c r="A22" s="263"/>
      <c r="B22" s="458" t="s">
        <v>22</v>
      </c>
      <c r="C22" s="481">
        <v>55.253720389999998</v>
      </c>
      <c r="D22" s="481">
        <v>22.971400210000002</v>
      </c>
      <c r="E22" s="481">
        <v>2.6630164600000001</v>
      </c>
      <c r="F22" s="481">
        <v>1.2708686199999999</v>
      </c>
      <c r="G22" s="483">
        <v>82.159005679999993</v>
      </c>
      <c r="H22" s="445"/>
    </row>
    <row r="23" spans="1:8" ht="15" customHeight="1" thickBot="1">
      <c r="A23" s="263"/>
      <c r="B23" s="459" t="s">
        <v>23</v>
      </c>
      <c r="C23" s="480">
        <v>72.77639173</v>
      </c>
      <c r="D23" s="480">
        <v>45.095963929999996</v>
      </c>
      <c r="E23" s="480">
        <v>10.09857</v>
      </c>
      <c r="F23" s="480">
        <v>4.0514572299999996</v>
      </c>
      <c r="G23" s="483">
        <v>132.02238288999999</v>
      </c>
      <c r="H23" s="445"/>
    </row>
    <row r="24" spans="1:8" ht="15" customHeight="1" thickBot="1">
      <c r="A24" s="263"/>
      <c r="B24" s="458" t="s">
        <v>24</v>
      </c>
      <c r="C24" s="481">
        <v>66.861835430000014</v>
      </c>
      <c r="D24" s="481">
        <v>43.740141116500006</v>
      </c>
      <c r="E24" s="481">
        <v>0</v>
      </c>
      <c r="F24" s="481">
        <v>0</v>
      </c>
      <c r="G24" s="483">
        <v>110.60197654650003</v>
      </c>
      <c r="H24" s="445"/>
    </row>
    <row r="25" spans="1:8" ht="15" customHeight="1" thickBot="1">
      <c r="A25" s="263"/>
      <c r="B25" s="459" t="s">
        <v>25</v>
      </c>
      <c r="C25" s="480">
        <v>337.81179398</v>
      </c>
      <c r="D25" s="480">
        <v>8.6120270800000007</v>
      </c>
      <c r="E25" s="480">
        <v>84.21199562999999</v>
      </c>
      <c r="F25" s="480">
        <v>4.7449100199999998</v>
      </c>
      <c r="G25" s="483">
        <v>435.38072671000003</v>
      </c>
      <c r="H25" s="445"/>
    </row>
    <row r="26" spans="1:8" ht="15" customHeight="1" thickBot="1">
      <c r="A26" s="263"/>
      <c r="B26" s="458" t="s">
        <v>36</v>
      </c>
      <c r="C26" s="481">
        <v>245.71350997049998</v>
      </c>
      <c r="D26" s="481">
        <v>17.830177329999998</v>
      </c>
      <c r="E26" s="481">
        <v>101.11369089000002</v>
      </c>
      <c r="F26" s="481">
        <v>1.6134646699999999</v>
      </c>
      <c r="G26" s="483">
        <v>366.27084286050001</v>
      </c>
      <c r="H26" s="445"/>
    </row>
    <row r="27" spans="1:8" ht="15" customHeight="1" thickBot="1">
      <c r="A27" s="263"/>
      <c r="B27" s="459" t="s">
        <v>225</v>
      </c>
      <c r="C27" s="480">
        <v>30.742830980000001</v>
      </c>
      <c r="D27" s="480">
        <v>26.10951</v>
      </c>
      <c r="E27" s="480">
        <v>0</v>
      </c>
      <c r="F27" s="480">
        <v>0</v>
      </c>
      <c r="G27" s="483">
        <v>56.852340980000001</v>
      </c>
      <c r="H27" s="445"/>
    </row>
    <row r="28" spans="1:8" ht="15" customHeight="1" thickBot="1">
      <c r="A28" s="263"/>
      <c r="B28" s="458" t="s">
        <v>27</v>
      </c>
      <c r="C28" s="481">
        <v>34.633966700000002</v>
      </c>
      <c r="D28" s="481">
        <v>32.878135440000001</v>
      </c>
      <c r="E28" s="481">
        <v>3.3417486000000003</v>
      </c>
      <c r="F28" s="481">
        <v>1</v>
      </c>
      <c r="G28" s="483">
        <v>71.853850739999999</v>
      </c>
      <c r="H28" s="445"/>
    </row>
    <row r="29" spans="1:8" ht="15" customHeight="1" thickBot="1">
      <c r="A29" s="263"/>
      <c r="B29" s="459" t="s">
        <v>28</v>
      </c>
      <c r="C29" s="480">
        <v>168.20475973999999</v>
      </c>
      <c r="D29" s="480">
        <v>53.459873380000012</v>
      </c>
      <c r="E29" s="480">
        <v>37.929027857500003</v>
      </c>
      <c r="F29" s="480">
        <v>0.90840680000000007</v>
      </c>
      <c r="G29" s="483">
        <v>260.50206777750003</v>
      </c>
      <c r="H29" s="445"/>
    </row>
    <row r="30" spans="1:8" ht="15" customHeight="1" thickBot="1">
      <c r="A30" s="263"/>
      <c r="B30" s="458" t="s">
        <v>29</v>
      </c>
      <c r="C30" s="481">
        <v>70.276898469999992</v>
      </c>
      <c r="D30" s="481">
        <v>56.223371036499991</v>
      </c>
      <c r="E30" s="481">
        <v>6.9809776400000008</v>
      </c>
      <c r="F30" s="481">
        <v>2.2069028600000005</v>
      </c>
      <c r="G30" s="483">
        <v>135.6881500065</v>
      </c>
      <c r="H30" s="445"/>
    </row>
    <row r="31" spans="1:8" ht="15" customHeight="1" thickBot="1">
      <c r="A31" s="263"/>
      <c r="B31" s="459" t="s">
        <v>37</v>
      </c>
      <c r="C31" s="480">
        <v>24.32199503</v>
      </c>
      <c r="D31" s="480">
        <v>4.5174820000000002</v>
      </c>
      <c r="E31" s="480">
        <v>0</v>
      </c>
      <c r="F31" s="480">
        <v>1.7841899999999999</v>
      </c>
      <c r="G31" s="483">
        <v>30.62366703</v>
      </c>
      <c r="H31" s="445"/>
    </row>
    <row r="32" spans="1:8" ht="15" customHeight="1" thickBot="1">
      <c r="A32" s="263"/>
      <c r="B32" s="458" t="s">
        <v>30</v>
      </c>
      <c r="C32" s="481">
        <v>88.756980530000007</v>
      </c>
      <c r="D32" s="481">
        <v>38.214173927147002</v>
      </c>
      <c r="E32" s="481">
        <v>0</v>
      </c>
      <c r="F32" s="481">
        <v>0</v>
      </c>
      <c r="G32" s="483">
        <v>126.97115445714701</v>
      </c>
      <c r="H32" s="445"/>
    </row>
    <row r="33" spans="1:10" ht="15" customHeight="1" thickBot="1">
      <c r="A33" s="263"/>
      <c r="B33" s="459" t="s">
        <v>31</v>
      </c>
      <c r="C33" s="480">
        <v>84.665349459999987</v>
      </c>
      <c r="D33" s="480">
        <v>87.409973319999992</v>
      </c>
      <c r="E33" s="480">
        <v>1.51031925</v>
      </c>
      <c r="F33" s="480">
        <v>1.4146865100000001</v>
      </c>
      <c r="G33" s="483">
        <v>175.00032853999997</v>
      </c>
      <c r="H33" s="445"/>
    </row>
    <row r="34" spans="1:10" ht="15" customHeight="1" thickBot="1">
      <c r="A34" s="263"/>
      <c r="B34" s="458" t="s">
        <v>32</v>
      </c>
      <c r="C34" s="481">
        <v>26.031788850000002</v>
      </c>
      <c r="D34" s="481">
        <v>15.879142719999999</v>
      </c>
      <c r="E34" s="481">
        <v>1.57692247</v>
      </c>
      <c r="F34" s="481">
        <v>0.36896471000000003</v>
      </c>
      <c r="G34" s="483">
        <v>43.856818750000002</v>
      </c>
      <c r="H34" s="445"/>
    </row>
    <row r="35" spans="1:10" ht="15" customHeight="1" thickBot="1">
      <c r="A35" s="263"/>
      <c r="B35" s="459" t="s">
        <v>262</v>
      </c>
      <c r="C35" s="480">
        <v>400.88514065999999</v>
      </c>
      <c r="D35" s="480">
        <v>99.956833124915008</v>
      </c>
      <c r="E35" s="480">
        <v>15.28736724</v>
      </c>
      <c r="F35" s="480">
        <v>0.92946600000000001</v>
      </c>
      <c r="G35" s="483">
        <v>517.05880702491504</v>
      </c>
      <c r="H35" s="445"/>
    </row>
    <row r="36" spans="1:10" ht="15" customHeight="1" thickBot="1">
      <c r="A36" s="263"/>
      <c r="B36" s="458" t="s">
        <v>34</v>
      </c>
      <c r="C36" s="481">
        <v>84.018232870000006</v>
      </c>
      <c r="D36" s="481">
        <v>41.289337709999998</v>
      </c>
      <c r="E36" s="481">
        <v>0.90143929999999994</v>
      </c>
      <c r="F36" s="481">
        <v>0.90143930999999999</v>
      </c>
      <c r="G36" s="483">
        <v>127.11044919000001</v>
      </c>
      <c r="H36" s="445"/>
    </row>
    <row r="37" spans="1:10" ht="12" customHeight="1" thickBot="1">
      <c r="A37" s="263"/>
      <c r="B37" s="459" t="s">
        <v>35</v>
      </c>
      <c r="C37" s="480">
        <v>107.94611811</v>
      </c>
      <c r="D37" s="480">
        <v>60.815356929999993</v>
      </c>
      <c r="E37" s="480">
        <v>4.4651081099999992</v>
      </c>
      <c r="F37" s="480">
        <v>1.5725102099999999</v>
      </c>
      <c r="G37" s="483">
        <v>174.79909335999997</v>
      </c>
      <c r="H37" s="445"/>
    </row>
    <row r="38" spans="1:10" ht="13.5" hidden="1" customHeight="1" thickBot="1">
      <c r="A38" s="263"/>
      <c r="B38" s="458" t="s">
        <v>307</v>
      </c>
      <c r="C38" s="481">
        <v>0</v>
      </c>
      <c r="D38" s="481">
        <v>0</v>
      </c>
      <c r="E38" s="481">
        <v>0</v>
      </c>
      <c r="F38" s="481">
        <v>0</v>
      </c>
      <c r="G38" s="483">
        <v>0</v>
      </c>
      <c r="H38" s="445"/>
    </row>
    <row r="39" spans="1:10" ht="13.5" customHeight="1" thickBot="1">
      <c r="A39" s="263"/>
      <c r="B39" s="458" t="s">
        <v>96</v>
      </c>
      <c r="C39" s="481">
        <v>0.54725731000000011</v>
      </c>
      <c r="D39" s="481">
        <v>0</v>
      </c>
      <c r="E39" s="481">
        <v>0</v>
      </c>
      <c r="F39" s="481"/>
      <c r="G39" s="483">
        <v>0.54725731000000011</v>
      </c>
      <c r="H39" s="445"/>
    </row>
    <row r="40" spans="1:10" ht="16.5" customHeight="1" thickBot="1">
      <c r="A40" s="263"/>
      <c r="B40" s="456" t="s">
        <v>54</v>
      </c>
      <c r="C40" s="483">
        <v>3877.5159032860001</v>
      </c>
      <c r="D40" s="483">
        <v>1294.4916233549368</v>
      </c>
      <c r="E40" s="483">
        <v>431.32843654049998</v>
      </c>
      <c r="F40" s="483">
        <v>56.708487759999997</v>
      </c>
      <c r="G40" s="483">
        <v>5660.0444509414365</v>
      </c>
      <c r="H40" s="445"/>
      <c r="I40" s="26"/>
      <c r="J40" s="42"/>
    </row>
    <row r="41" spans="1:10" hidden="1">
      <c r="A41" s="263"/>
      <c r="B41" s="1150" t="s">
        <v>309</v>
      </c>
      <c r="C41" s="1151"/>
      <c r="D41" s="1151"/>
      <c r="E41" s="1151"/>
      <c r="F41" s="1151"/>
      <c r="G41" s="1151"/>
      <c r="H41" s="1151"/>
    </row>
    <row r="42" spans="1:10" ht="12.95" customHeight="1">
      <c r="A42" s="263"/>
      <c r="B42" s="1142" t="s">
        <v>312</v>
      </c>
      <c r="C42" s="1142"/>
      <c r="D42" s="1142"/>
      <c r="E42" s="1142"/>
      <c r="F42" s="1142"/>
      <c r="G42" s="1142"/>
      <c r="H42" s="464"/>
      <c r="J42" s="20"/>
    </row>
    <row r="43" spans="1:10" ht="9" customHeight="1">
      <c r="A43" s="263"/>
      <c r="B43" s="1148"/>
      <c r="C43" s="1149"/>
      <c r="D43" s="1149"/>
      <c r="E43" s="1149"/>
      <c r="F43" s="1149"/>
      <c r="G43" s="1149"/>
      <c r="H43" s="263"/>
    </row>
    <row r="44" spans="1:10">
      <c r="B44" s="29"/>
      <c r="C44" s="17"/>
      <c r="D44" s="10"/>
      <c r="E44" s="10"/>
      <c r="F44" s="10"/>
      <c r="G44" s="10"/>
    </row>
    <row r="45" spans="1:10">
      <c r="I45" s="194"/>
    </row>
    <row r="46" spans="1:10" ht="15" customHeight="1"/>
    <row r="49" spans="3:6">
      <c r="C49" s="20"/>
      <c r="D49" s="20"/>
      <c r="E49" s="20"/>
      <c r="F49" s="20"/>
    </row>
  </sheetData>
  <sheetProtection password="CF4C" sheet="1" objects="1" scenarios="1"/>
  <customSheetViews>
    <customSheetView guid="{E9B43C8C-734F-433D-AD37-344F9303B5CC}" showPageBreaks="1" showGridLines="0" zeroValues="0" showRuler="0">
      <pane ySplit="19" topLeftCell="A39"/>
      <selection activeCell="I11" sqref="I11"/>
      <pageMargins left="0.39370078740157483" right="0.39370078740157483" top="0.59055118110236227" bottom="0.59055118110236227" header="0.39370078740157483" footer="0.39370078740157483"/>
      <printOptions horizontalCentered="1"/>
      <pageSetup orientation="portrait" r:id="rId1"/>
      <headerFooter alignWithMargins="0"/>
    </customSheetView>
    <customSheetView guid="{9BF398E0-33D8-4E64-94A2-9B7C822C8383}" showPageBreaks="1" showGridLines="0" zeroValues="0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2"/>
      <headerFooter alignWithMargins="0"/>
    </customSheetView>
    <customSheetView guid="{6DCFE324-2DF9-4BB0-88BD-A4AD316C7A9E}" showGridLines="0" zeroValues="0" hiddenRows="1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3"/>
      <headerFooter alignWithMargins="0"/>
    </customSheetView>
    <customSheetView guid="{48A744A8-8180-4A3B-8108-49EF41816969}" showGridLines="0" zeroValues="0" hiddenRows="1" hiddenColumns="1" showRuler="0" topLeftCell="A32">
      <pane ySplit="19.411764705882351" topLeftCell="A37"/>
      <selection activeCell="B45" sqref="B45:G45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4"/>
      <headerFooter alignWithMargins="0"/>
    </customSheetView>
    <customSheetView guid="{9E220BD5-A526-40BD-8239-3A0461590922}" showGridLines="0" zeroValues="0" showRuler="0" topLeftCell="A32">
      <pane ySplit="20.058823529411764" topLeftCell="A32"/>
      <selection activeCell="I11" sqref="I11"/>
      <pageMargins left="0.39370078740157483" right="0.39370078740157483" top="0.59055118110236227" bottom="0.59055118110236227" header="0.39370078740157483" footer="0.39370078740157483"/>
      <printOptions horizontalCentered="1"/>
      <pageSetup orientation="portrait" r:id="rId5"/>
      <headerFooter alignWithMargins="0"/>
    </customSheetView>
  </customSheetViews>
  <mergeCells count="6">
    <mergeCell ref="B43:G43"/>
    <mergeCell ref="B41:H41"/>
    <mergeCell ref="B2:G2"/>
    <mergeCell ref="B4:B5"/>
    <mergeCell ref="G4:G5"/>
    <mergeCell ref="B42:G42"/>
  </mergeCells>
  <phoneticPr fontId="9" type="noConversion"/>
  <printOptions horizontalCentered="1"/>
  <pageMargins left="0.39370078740157483" right="0.39370078740157483" top="0.59055118110236227" bottom="0.59055118110236227" header="0.39370078740157483" footer="0.39370078740157483"/>
  <pageSetup orientation="portrait" r:id="rId6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4" enableFormatConditionsCalculation="0">
    <tabColor theme="9" tint="-0.249977111117893"/>
    <pageSetUpPr fitToPage="1"/>
  </sheetPr>
  <dimension ref="A1:N51"/>
  <sheetViews>
    <sheetView showGridLines="0" zoomScale="75" zoomScaleNormal="75" workbookViewId="0">
      <selection activeCell="M18" sqref="M18"/>
    </sheetView>
  </sheetViews>
  <sheetFormatPr baseColWidth="10" defaultRowHeight="12.75"/>
  <cols>
    <col min="1" max="1" width="1.7109375" customWidth="1"/>
    <col min="2" max="2" width="22.7109375" customWidth="1"/>
    <col min="3" max="6" width="16.7109375" customWidth="1"/>
    <col min="7" max="7" width="14.7109375" customWidth="1"/>
    <col min="8" max="8" width="1.7109375" customWidth="1"/>
    <col min="9" max="9" width="7.7109375" customWidth="1"/>
    <col min="10" max="10" width="13.28515625" bestFit="1" customWidth="1"/>
    <col min="11" max="11" width="7.85546875" bestFit="1" customWidth="1"/>
    <col min="14" max="14" width="6.7109375" bestFit="1" customWidth="1"/>
    <col min="15" max="15" width="5" bestFit="1" customWidth="1"/>
  </cols>
  <sheetData>
    <row r="1" spans="1:11" s="46" customFormat="1" ht="12" customHeight="1">
      <c r="A1" s="261"/>
      <c r="B1" s="259"/>
      <c r="C1" s="260"/>
      <c r="D1" s="260"/>
      <c r="E1" s="260"/>
      <c r="F1" s="260"/>
      <c r="G1" s="260"/>
      <c r="H1" s="261"/>
    </row>
    <row r="2" spans="1:11" ht="15" customHeight="1">
      <c r="A2" s="263"/>
      <c r="B2" s="830" t="s">
        <v>525</v>
      </c>
      <c r="C2" s="394"/>
      <c r="D2" s="394"/>
      <c r="E2" s="394"/>
      <c r="F2" s="394"/>
      <c r="G2" s="394"/>
      <c r="H2" s="263"/>
    </row>
    <row r="3" spans="1:11" ht="15" customHeight="1" thickBot="1">
      <c r="A3" s="263"/>
      <c r="B3" s="831" t="s">
        <v>112</v>
      </c>
      <c r="C3" s="394"/>
      <c r="D3" s="394"/>
      <c r="E3" s="394"/>
      <c r="F3" s="394"/>
      <c r="G3" s="394"/>
      <c r="H3" s="263"/>
    </row>
    <row r="4" spans="1:11" ht="18" customHeight="1" thickBot="1">
      <c r="A4" s="263"/>
      <c r="B4" s="1143" t="s">
        <v>230</v>
      </c>
      <c r="C4" s="461" t="s">
        <v>291</v>
      </c>
      <c r="D4" s="462"/>
      <c r="E4" s="462"/>
      <c r="F4" s="462"/>
      <c r="G4" s="1129" t="s">
        <v>255</v>
      </c>
      <c r="H4" s="263"/>
    </row>
    <row r="5" spans="1:11" ht="26.25" customHeight="1" thickBot="1">
      <c r="A5" s="263"/>
      <c r="B5" s="1143"/>
      <c r="C5" s="453" t="s">
        <v>289</v>
      </c>
      <c r="D5" s="453" t="s">
        <v>290</v>
      </c>
      <c r="E5" s="440" t="s">
        <v>612</v>
      </c>
      <c r="F5" s="993" t="s">
        <v>569</v>
      </c>
      <c r="G5" s="1130"/>
      <c r="H5" s="263"/>
    </row>
    <row r="6" spans="1:11" ht="15" customHeight="1" thickBot="1">
      <c r="A6" s="263"/>
      <c r="B6" s="458" t="s">
        <v>6</v>
      </c>
      <c r="C6" s="481">
        <v>14.0045088</v>
      </c>
      <c r="D6" s="481">
        <v>12.059669730000001</v>
      </c>
      <c r="E6" s="481">
        <v>0.29780561999999999</v>
      </c>
      <c r="F6" s="481">
        <v>0</v>
      </c>
      <c r="G6" s="483">
        <v>26.361984149999998</v>
      </c>
      <c r="H6" s="263"/>
    </row>
    <row r="7" spans="1:11" ht="15" customHeight="1" thickBot="1">
      <c r="A7" s="263"/>
      <c r="B7" s="459" t="s">
        <v>7</v>
      </c>
      <c r="C7" s="480">
        <v>58.819379579999996</v>
      </c>
      <c r="D7" s="480">
        <v>36.846567799999995</v>
      </c>
      <c r="E7" s="480">
        <v>0</v>
      </c>
      <c r="F7" s="480">
        <v>0</v>
      </c>
      <c r="G7" s="483">
        <v>95.665947379999992</v>
      </c>
      <c r="H7" s="263"/>
      <c r="K7" s="704"/>
    </row>
    <row r="8" spans="1:11" ht="15" customHeight="1" thickBot="1">
      <c r="A8" s="263"/>
      <c r="B8" s="458" t="s">
        <v>8</v>
      </c>
      <c r="C8" s="481">
        <v>35.051935309999998</v>
      </c>
      <c r="D8" s="481">
        <v>19.350557999999999</v>
      </c>
      <c r="E8" s="481">
        <v>0</v>
      </c>
      <c r="F8" s="481">
        <v>0</v>
      </c>
      <c r="G8" s="483">
        <v>54.402493309999997</v>
      </c>
      <c r="H8" s="263"/>
      <c r="K8" s="704"/>
    </row>
    <row r="9" spans="1:11" ht="15" customHeight="1" thickBot="1">
      <c r="A9" s="263"/>
      <c r="B9" s="459" t="s">
        <v>9</v>
      </c>
      <c r="C9" s="480">
        <v>74.509500419999995</v>
      </c>
      <c r="D9" s="480">
        <v>19.355238</v>
      </c>
      <c r="E9" s="480">
        <v>0</v>
      </c>
      <c r="F9" s="480">
        <v>0</v>
      </c>
      <c r="G9" s="483">
        <v>93.864738419999995</v>
      </c>
      <c r="H9" s="263"/>
      <c r="K9" s="704"/>
    </row>
    <row r="10" spans="1:11" ht="15" customHeight="1" thickBot="1">
      <c r="A10" s="263"/>
      <c r="B10" s="458" t="s">
        <v>12</v>
      </c>
      <c r="C10" s="481">
        <v>297.66400355000002</v>
      </c>
      <c r="D10" s="481">
        <v>165.04110209999999</v>
      </c>
      <c r="E10" s="481">
        <v>1.3860730000000001</v>
      </c>
      <c r="F10" s="481">
        <v>21.454382980000002</v>
      </c>
      <c r="G10" s="483">
        <v>485.54556163000001</v>
      </c>
      <c r="H10" s="263"/>
      <c r="K10" s="704"/>
    </row>
    <row r="11" spans="1:11" ht="15" customHeight="1" thickBot="1">
      <c r="A11" s="263"/>
      <c r="B11" s="459" t="s">
        <v>13</v>
      </c>
      <c r="C11" s="480">
        <v>166.21616155999999</v>
      </c>
      <c r="D11" s="480">
        <v>77.427203810000009</v>
      </c>
      <c r="E11" s="480">
        <v>5.5593452900000004</v>
      </c>
      <c r="F11" s="480">
        <v>0</v>
      </c>
      <c r="G11" s="483">
        <v>249.20271066000001</v>
      </c>
      <c r="H11" s="263"/>
      <c r="K11" s="704"/>
    </row>
    <row r="12" spans="1:11" ht="15" customHeight="1" thickBot="1">
      <c r="A12" s="263"/>
      <c r="B12" s="458" t="s">
        <v>223</v>
      </c>
      <c r="C12" s="481">
        <v>46.198556589999995</v>
      </c>
      <c r="D12" s="481">
        <v>16.913323100000003</v>
      </c>
      <c r="E12" s="481">
        <v>0</v>
      </c>
      <c r="F12" s="481">
        <v>0</v>
      </c>
      <c r="G12" s="483">
        <v>63.111879689999995</v>
      </c>
      <c r="H12" s="263"/>
      <c r="K12" s="704"/>
    </row>
    <row r="13" spans="1:11" ht="15" customHeight="1" thickBot="1">
      <c r="A13" s="263"/>
      <c r="B13" s="459" t="s">
        <v>11</v>
      </c>
      <c r="C13" s="480">
        <v>2.3507975800000001</v>
      </c>
      <c r="D13" s="480">
        <v>24.97917838</v>
      </c>
      <c r="E13" s="480">
        <v>0.51514693</v>
      </c>
      <c r="F13" s="480">
        <v>0</v>
      </c>
      <c r="G13" s="483">
        <v>27.845122889999999</v>
      </c>
      <c r="H13" s="263"/>
      <c r="K13" s="704"/>
    </row>
    <row r="14" spans="1:11" ht="15" customHeight="1" thickBot="1">
      <c r="A14" s="263"/>
      <c r="B14" s="458" t="s">
        <v>14</v>
      </c>
      <c r="C14" s="481">
        <v>5.0853000000000002</v>
      </c>
      <c r="D14" s="481">
        <v>0.50824800000000003</v>
      </c>
      <c r="E14" s="481">
        <v>0</v>
      </c>
      <c r="F14" s="481">
        <v>0</v>
      </c>
      <c r="G14" s="483">
        <v>5.5935480000000002</v>
      </c>
      <c r="H14" s="263"/>
      <c r="K14" s="704"/>
    </row>
    <row r="15" spans="1:11" ht="15" customHeight="1" thickBot="1">
      <c r="A15" s="263"/>
      <c r="B15" s="459" t="s">
        <v>15</v>
      </c>
      <c r="C15" s="480">
        <v>99.287650920000004</v>
      </c>
      <c r="D15" s="480">
        <v>85.966522650000002</v>
      </c>
      <c r="E15" s="480">
        <v>2.78203464</v>
      </c>
      <c r="F15" s="480">
        <v>0</v>
      </c>
      <c r="G15" s="483">
        <v>188.03620821000001</v>
      </c>
      <c r="H15" s="263"/>
      <c r="K15" s="704"/>
    </row>
    <row r="16" spans="1:11" ht="15" customHeight="1" thickBot="1">
      <c r="A16" s="263"/>
      <c r="B16" s="458" t="s">
        <v>16</v>
      </c>
      <c r="C16" s="481">
        <v>47.112971204224998</v>
      </c>
      <c r="D16" s="481">
        <v>74.732716965150004</v>
      </c>
      <c r="E16" s="481">
        <v>0</v>
      </c>
      <c r="F16" s="481">
        <v>0</v>
      </c>
      <c r="G16" s="483">
        <v>121.84568816937499</v>
      </c>
      <c r="H16" s="263"/>
      <c r="K16" s="704"/>
    </row>
    <row r="17" spans="1:14" ht="15" customHeight="1" thickBot="1">
      <c r="A17" s="263"/>
      <c r="B17" s="459" t="s">
        <v>17</v>
      </c>
      <c r="C17" s="480">
        <v>282.26813633896364</v>
      </c>
      <c r="D17" s="480">
        <v>256.36085021103639</v>
      </c>
      <c r="E17" s="480">
        <v>2.1909999999999998</v>
      </c>
      <c r="F17" s="480">
        <v>2.3184999999999998</v>
      </c>
      <c r="G17" s="483">
        <v>543.13848655000004</v>
      </c>
      <c r="H17" s="263"/>
      <c r="K17" s="704"/>
    </row>
    <row r="18" spans="1:14" ht="15" customHeight="1" thickBot="1">
      <c r="A18" s="263"/>
      <c r="B18" s="458" t="s">
        <v>18</v>
      </c>
      <c r="C18" s="481">
        <v>136.202746561</v>
      </c>
      <c r="D18" s="481">
        <v>117.199149498</v>
      </c>
      <c r="E18" s="481">
        <v>19.474681</v>
      </c>
      <c r="F18" s="481">
        <v>0</v>
      </c>
      <c r="G18" s="483">
        <v>272.876577059</v>
      </c>
      <c r="H18" s="263"/>
      <c r="K18" s="704"/>
    </row>
    <row r="19" spans="1:14" ht="15" customHeight="1" thickBot="1">
      <c r="A19" s="263"/>
      <c r="B19" s="459" t="s">
        <v>19</v>
      </c>
      <c r="C19" s="480">
        <v>71.191792809999995</v>
      </c>
      <c r="D19" s="480">
        <v>111.70700047999999</v>
      </c>
      <c r="E19" s="480">
        <v>15.140884</v>
      </c>
      <c r="F19" s="480">
        <v>0</v>
      </c>
      <c r="G19" s="483">
        <v>198.03967728999999</v>
      </c>
      <c r="H19" s="263"/>
      <c r="K19" s="704"/>
      <c r="N19" t="s">
        <v>102</v>
      </c>
    </row>
    <row r="20" spans="1:14" ht="15" customHeight="1" thickBot="1">
      <c r="A20" s="263"/>
      <c r="B20" s="458" t="s">
        <v>20</v>
      </c>
      <c r="C20" s="481">
        <v>55.644856290000007</v>
      </c>
      <c r="D20" s="481">
        <v>77.941884200000004</v>
      </c>
      <c r="E20" s="481">
        <v>0.38690000000000002</v>
      </c>
      <c r="F20" s="481">
        <v>3.10735312</v>
      </c>
      <c r="G20" s="483">
        <v>137.08099361000001</v>
      </c>
      <c r="H20" s="263"/>
      <c r="K20" s="704"/>
    </row>
    <row r="21" spans="1:14" ht="15" customHeight="1" thickBot="1">
      <c r="A21" s="263"/>
      <c r="B21" s="459" t="s">
        <v>224</v>
      </c>
      <c r="C21" s="480">
        <v>124.72698375</v>
      </c>
      <c r="D21" s="480">
        <v>117.87501232</v>
      </c>
      <c r="E21" s="480">
        <v>3.6428600000000002</v>
      </c>
      <c r="F21" s="480">
        <v>3.8890579999999999</v>
      </c>
      <c r="G21" s="483">
        <v>250.13391407</v>
      </c>
      <c r="H21" s="263"/>
      <c r="K21" s="704"/>
    </row>
    <row r="22" spans="1:14" ht="15" customHeight="1" thickBot="1">
      <c r="A22" s="263"/>
      <c r="B22" s="458" t="s">
        <v>22</v>
      </c>
      <c r="C22" s="481">
        <v>54.826098019999996</v>
      </c>
      <c r="D22" s="481">
        <v>20.722875150000004</v>
      </c>
      <c r="E22" s="481">
        <v>6.6100325099999999</v>
      </c>
      <c r="F22" s="481">
        <v>0</v>
      </c>
      <c r="G22" s="483">
        <v>82.159005679999993</v>
      </c>
      <c r="H22" s="263"/>
      <c r="K22" s="704"/>
    </row>
    <row r="23" spans="1:14" ht="15" customHeight="1" thickBot="1">
      <c r="A23" s="263"/>
      <c r="B23" s="459" t="s">
        <v>23</v>
      </c>
      <c r="C23" s="480">
        <v>83.234587260000012</v>
      </c>
      <c r="D23" s="480">
        <v>35.793455049999999</v>
      </c>
      <c r="E23" s="480">
        <v>5.6089054999999997</v>
      </c>
      <c r="F23" s="480">
        <v>7.3854350799999997</v>
      </c>
      <c r="G23" s="483">
        <v>132.02238289000002</v>
      </c>
      <c r="H23" s="263"/>
      <c r="K23" s="704"/>
    </row>
    <row r="24" spans="1:14" ht="15" customHeight="1" thickBot="1">
      <c r="A24" s="263"/>
      <c r="B24" s="458" t="s">
        <v>24</v>
      </c>
      <c r="C24" s="481">
        <v>80.880170538499996</v>
      </c>
      <c r="D24" s="481">
        <v>23.124240188000002</v>
      </c>
      <c r="E24" s="481">
        <v>0</v>
      </c>
      <c r="F24" s="481">
        <v>6.5975658200000007</v>
      </c>
      <c r="G24" s="483">
        <v>110.6019765465</v>
      </c>
      <c r="H24" s="263"/>
      <c r="K24" s="704"/>
    </row>
    <row r="25" spans="1:14" ht="15" customHeight="1" thickBot="1">
      <c r="A25" s="263"/>
      <c r="B25" s="459" t="s">
        <v>25</v>
      </c>
      <c r="C25" s="480">
        <v>275.99024470999996</v>
      </c>
      <c r="D25" s="480">
        <v>124.12066425000002</v>
      </c>
      <c r="E25" s="480">
        <v>35.269817750000001</v>
      </c>
      <c r="F25" s="480">
        <v>0</v>
      </c>
      <c r="G25" s="483">
        <v>435.38072670999998</v>
      </c>
      <c r="H25" s="263"/>
      <c r="K25" s="704"/>
    </row>
    <row r="26" spans="1:14" ht="15" customHeight="1" thickBot="1">
      <c r="A26" s="263"/>
      <c r="B26" s="458" t="s">
        <v>36</v>
      </c>
      <c r="C26" s="481">
        <v>144.51322987999998</v>
      </c>
      <c r="D26" s="481">
        <v>179.11195074</v>
      </c>
      <c r="E26" s="481">
        <v>42.645662240499995</v>
      </c>
      <c r="F26" s="481">
        <v>0</v>
      </c>
      <c r="G26" s="483">
        <v>366.27084286049995</v>
      </c>
      <c r="H26" s="263"/>
      <c r="K26" s="704"/>
    </row>
    <row r="27" spans="1:14" ht="15" customHeight="1" thickBot="1">
      <c r="A27" s="263"/>
      <c r="B27" s="459" t="s">
        <v>225</v>
      </c>
      <c r="C27" s="480">
        <v>53.541373450000002</v>
      </c>
      <c r="D27" s="480">
        <v>3.3109675300000001</v>
      </c>
      <c r="E27" s="480">
        <v>0</v>
      </c>
      <c r="F27" s="480">
        <v>0</v>
      </c>
      <c r="G27" s="483">
        <v>56.852340980000001</v>
      </c>
      <c r="H27" s="263"/>
      <c r="K27" s="704"/>
    </row>
    <row r="28" spans="1:14" ht="15" customHeight="1" thickBot="1">
      <c r="A28" s="263"/>
      <c r="B28" s="458" t="s">
        <v>27</v>
      </c>
      <c r="C28" s="481">
        <v>57.268504139999997</v>
      </c>
      <c r="D28" s="481">
        <v>14.585346599999999</v>
      </c>
      <c r="E28" s="481">
        <v>0</v>
      </c>
      <c r="F28" s="481">
        <v>0</v>
      </c>
      <c r="G28" s="483">
        <v>71.853850739999999</v>
      </c>
      <c r="H28" s="263"/>
      <c r="K28" s="704"/>
    </row>
    <row r="29" spans="1:14" ht="15" customHeight="1" thickBot="1">
      <c r="A29" s="263"/>
      <c r="B29" s="459" t="s">
        <v>28</v>
      </c>
      <c r="C29" s="480">
        <v>154.32038894750002</v>
      </c>
      <c r="D29" s="480">
        <v>79.955421849999993</v>
      </c>
      <c r="E29" s="480">
        <v>25.288861240000003</v>
      </c>
      <c r="F29" s="480">
        <v>0.93739574000000003</v>
      </c>
      <c r="G29" s="483">
        <v>260.50206777750003</v>
      </c>
      <c r="H29" s="263"/>
      <c r="K29" s="704"/>
    </row>
    <row r="30" spans="1:14" ht="15" customHeight="1" thickBot="1">
      <c r="A30" s="263"/>
      <c r="B30" s="458" t="s">
        <v>29</v>
      </c>
      <c r="C30" s="481">
        <v>28.762318776500003</v>
      </c>
      <c r="D30" s="481">
        <v>106.92583122999999</v>
      </c>
      <c r="E30" s="481">
        <v>0</v>
      </c>
      <c r="F30" s="481">
        <v>0</v>
      </c>
      <c r="G30" s="483">
        <v>135.6881500065</v>
      </c>
      <c r="H30" s="263"/>
      <c r="K30" s="704"/>
    </row>
    <row r="31" spans="1:14" ht="15" customHeight="1" thickBot="1">
      <c r="A31" s="263"/>
      <c r="B31" s="459" t="s">
        <v>37</v>
      </c>
      <c r="C31" s="480">
        <v>22.00901927</v>
      </c>
      <c r="D31" s="480">
        <v>6.8875717600000002</v>
      </c>
      <c r="E31" s="480">
        <v>1.1643829999999999</v>
      </c>
      <c r="F31" s="480">
        <v>0.562693</v>
      </c>
      <c r="G31" s="483">
        <v>30.62366703</v>
      </c>
      <c r="H31" s="263"/>
      <c r="K31" s="704"/>
    </row>
    <row r="32" spans="1:14" ht="15" customHeight="1" thickBot="1">
      <c r="A32" s="263"/>
      <c r="B32" s="458" t="s">
        <v>30</v>
      </c>
      <c r="C32" s="481">
        <v>54.406430875339993</v>
      </c>
      <c r="D32" s="481">
        <v>72.564723581807002</v>
      </c>
      <c r="E32" s="481">
        <v>0</v>
      </c>
      <c r="F32" s="481">
        <v>0</v>
      </c>
      <c r="G32" s="483">
        <v>126.97115445714699</v>
      </c>
      <c r="H32" s="263"/>
      <c r="K32" s="704"/>
    </row>
    <row r="33" spans="1:14" ht="15" customHeight="1" thickBot="1">
      <c r="A33" s="263"/>
      <c r="B33" s="459" t="s">
        <v>31</v>
      </c>
      <c r="C33" s="480">
        <v>64.861360140000002</v>
      </c>
      <c r="D33" s="480">
        <v>94.764089960000007</v>
      </c>
      <c r="E33" s="480">
        <v>15.374878439999998</v>
      </c>
      <c r="F33" s="480">
        <v>0</v>
      </c>
      <c r="G33" s="483">
        <v>175.00032854000003</v>
      </c>
      <c r="H33" s="263"/>
      <c r="K33" s="704"/>
    </row>
    <row r="34" spans="1:14" ht="15" customHeight="1" thickBot="1">
      <c r="A34" s="263"/>
      <c r="B34" s="458" t="s">
        <v>32</v>
      </c>
      <c r="C34" s="481">
        <v>21.202498069999997</v>
      </c>
      <c r="D34" s="481">
        <v>22.354320680000001</v>
      </c>
      <c r="E34" s="481">
        <v>0.3</v>
      </c>
      <c r="F34" s="481">
        <v>0</v>
      </c>
      <c r="G34" s="483">
        <v>43.856818749999995</v>
      </c>
      <c r="H34" s="263"/>
      <c r="K34" s="704"/>
    </row>
    <row r="35" spans="1:14" ht="15" customHeight="1" thickBot="1">
      <c r="A35" s="263"/>
      <c r="B35" s="459" t="s">
        <v>262</v>
      </c>
      <c r="C35" s="480">
        <v>323.01356636979494</v>
      </c>
      <c r="D35" s="480">
        <v>123.31966991675</v>
      </c>
      <c r="E35" s="480">
        <v>70.725570738369996</v>
      </c>
      <c r="F35" s="480">
        <v>0</v>
      </c>
      <c r="G35" s="483">
        <v>517.05880702491493</v>
      </c>
      <c r="H35" s="263"/>
      <c r="K35" s="704"/>
    </row>
    <row r="36" spans="1:14" ht="15" customHeight="1" thickBot="1">
      <c r="A36" s="263"/>
      <c r="B36" s="458" t="s">
        <v>34</v>
      </c>
      <c r="C36" s="481">
        <v>79.008728379999994</v>
      </c>
      <c r="D36" s="481">
        <v>46.953806860000007</v>
      </c>
      <c r="E36" s="481">
        <v>0</v>
      </c>
      <c r="F36" s="481">
        <v>1.14791395</v>
      </c>
      <c r="G36" s="483">
        <v>127.11044919</v>
      </c>
      <c r="H36" s="263"/>
      <c r="K36" s="704"/>
    </row>
    <row r="37" spans="1:14" ht="15" customHeight="1" thickBot="1">
      <c r="A37" s="263"/>
      <c r="B37" s="459" t="s">
        <v>35</v>
      </c>
      <c r="C37" s="480">
        <v>69.974320689999999</v>
      </c>
      <c r="D37" s="480">
        <v>101.05690279000001</v>
      </c>
      <c r="E37" s="480">
        <v>3.7678698799999997</v>
      </c>
      <c r="F37" s="480">
        <v>0</v>
      </c>
      <c r="G37" s="483">
        <v>174.79909336</v>
      </c>
      <c r="H37" s="263"/>
      <c r="K37" s="704"/>
    </row>
    <row r="38" spans="1:14" ht="13.5" thickBot="1">
      <c r="A38" s="263"/>
      <c r="B38" s="458" t="s">
        <v>96</v>
      </c>
      <c r="C38" s="481">
        <v>0.54725731000000011</v>
      </c>
      <c r="D38" s="481">
        <v>0</v>
      </c>
      <c r="E38" s="481">
        <v>0</v>
      </c>
      <c r="F38" s="481">
        <v>0</v>
      </c>
      <c r="G38" s="483">
        <v>0.54725731000000011</v>
      </c>
      <c r="H38" s="263"/>
      <c r="K38" s="704"/>
    </row>
    <row r="39" spans="1:14" s="5" customFormat="1" ht="18" customHeight="1" thickBot="1">
      <c r="A39" s="264"/>
      <c r="B39" s="456" t="s">
        <v>54</v>
      </c>
      <c r="C39" s="483">
        <v>3084.6953780918225</v>
      </c>
      <c r="D39" s="483">
        <v>2269.8160633807438</v>
      </c>
      <c r="E39" s="483">
        <v>258.13271177886998</v>
      </c>
      <c r="F39" s="483">
        <v>47.400297690000002</v>
      </c>
      <c r="G39" s="483">
        <v>5660.0444509414365</v>
      </c>
      <c r="H39" s="264"/>
      <c r="J39"/>
      <c r="K39" s="704"/>
      <c r="N39" s="64"/>
    </row>
    <row r="40" spans="1:14" ht="18.75" customHeight="1">
      <c r="A40" s="263"/>
      <c r="B40" s="1144" t="s">
        <v>613</v>
      </c>
      <c r="C40" s="1145"/>
      <c r="D40" s="1145"/>
      <c r="E40" s="1145"/>
      <c r="F40" s="1145"/>
      <c r="G40" s="1145"/>
      <c r="H40" s="263"/>
    </row>
    <row r="41" spans="1:14" ht="21.75" customHeight="1">
      <c r="A41" s="263"/>
      <c r="B41" s="1141" t="s">
        <v>614</v>
      </c>
      <c r="C41" s="1141"/>
      <c r="D41" s="1141"/>
      <c r="E41" s="1141"/>
      <c r="F41" s="1141"/>
      <c r="G41" s="1141"/>
      <c r="H41" s="263"/>
    </row>
    <row r="42" spans="1:14" ht="12.75" customHeight="1">
      <c r="A42" s="263"/>
      <c r="B42" s="1142" t="s">
        <v>277</v>
      </c>
      <c r="C42" s="1142"/>
      <c r="D42" s="1142"/>
      <c r="E42" s="1142"/>
      <c r="F42" s="1142"/>
      <c r="G42" s="1142"/>
      <c r="H42" s="263"/>
    </row>
    <row r="43" spans="1:14">
      <c r="A43" s="263"/>
      <c r="B43" s="1152"/>
      <c r="C43" s="1153"/>
      <c r="D43" s="1153"/>
      <c r="E43" s="1153"/>
      <c r="F43" s="1153"/>
      <c r="G43" s="1153"/>
      <c r="H43" s="263"/>
    </row>
    <row r="44" spans="1:14">
      <c r="B44" s="189"/>
      <c r="C44" s="190"/>
      <c r="D44" s="190"/>
      <c r="E44" s="190"/>
    </row>
    <row r="45" spans="1:14">
      <c r="B45" s="404"/>
      <c r="C45" s="404"/>
      <c r="D45" s="404"/>
      <c r="E45" s="404"/>
      <c r="G45" s="705"/>
    </row>
    <row r="46" spans="1:14" ht="15" customHeight="1">
      <c r="B46" s="404"/>
      <c r="C46" s="404"/>
      <c r="D46" s="404"/>
      <c r="E46" s="404"/>
    </row>
    <row r="47" spans="1:14">
      <c r="B47" s="404"/>
      <c r="C47" s="404"/>
      <c r="D47" s="404"/>
      <c r="E47" s="404"/>
    </row>
    <row r="48" spans="1:14">
      <c r="B48" s="404"/>
      <c r="C48" s="404"/>
      <c r="D48" s="404"/>
      <c r="E48" s="404"/>
      <c r="F48" s="404"/>
    </row>
    <row r="50" spans="3:7">
      <c r="C50" s="20"/>
      <c r="D50" s="20"/>
      <c r="E50" s="20"/>
      <c r="F50" s="20"/>
    </row>
    <row r="51" spans="3:7">
      <c r="G51" s="42"/>
    </row>
  </sheetData>
  <sheetProtection password="CF4C" sheet="1" objects="1" scenarios="1"/>
  <customSheetViews>
    <customSheetView guid="{E9B43C8C-734F-433D-AD37-344F9303B5CC}" showPageBreaks="1" showGridLines="0" showRuler="0">
      <pane ySplit="16.95" topLeftCell="A35" activePane="bottomLeft"/>
      <selection pane="bottomLeft" activeCell="B45" sqref="B45:I45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1"/>
      <headerFooter alignWithMargins="0"/>
    </customSheetView>
    <customSheetView guid="{9BF398E0-33D8-4E64-94A2-9B7C822C8383}" showPageBreaks="1" showGridLines="0" hiddenColumns="1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2"/>
      <headerFooter alignWithMargins="0"/>
    </customSheetView>
    <customSheetView guid="{6DCFE324-2DF9-4BB0-88BD-A4AD316C7A9E}" showGridLines="0" hiddenColumns="1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3"/>
      <headerFooter alignWithMargins="0"/>
    </customSheetView>
    <customSheetView guid="{48A744A8-8180-4A3B-8108-49EF41816969}" showGridLines="0" hiddenRows="1" hiddenColumns="1" showRuler="0" topLeftCell="A32">
      <pane ySplit="19.176470588235293" topLeftCell="A36"/>
      <selection activeCell="B44" sqref="B44:I44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4"/>
      <headerFooter alignWithMargins="0"/>
    </customSheetView>
    <customSheetView guid="{9E220BD5-A526-40BD-8239-3A0461590922}" showGridLines="0" showRuler="0" topLeftCell="A30">
      <pane ySplit="18.647058823529413" topLeftCell="A35" activePane="bottomLeft"/>
      <selection pane="bottomLeft" activeCell="B45" sqref="B45:I45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5"/>
      <headerFooter alignWithMargins="0"/>
    </customSheetView>
  </customSheetViews>
  <mergeCells count="6">
    <mergeCell ref="B43:G43"/>
    <mergeCell ref="B4:B5"/>
    <mergeCell ref="B41:G41"/>
    <mergeCell ref="B40:G40"/>
    <mergeCell ref="G4:G5"/>
    <mergeCell ref="B42:G42"/>
  </mergeCells>
  <phoneticPr fontId="9" type="noConversion"/>
  <printOptions horizontalCentered="1"/>
  <pageMargins left="0.19685039370078741" right="0.19685039370078741" top="0.39370078740157483" bottom="0.39370078740157483" header="0.39370078740157483" footer="0.39370078740157483"/>
  <pageSetup scale="96" orientation="portrait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29"/>
  <sheetViews>
    <sheetView showGridLines="0" zoomScale="110" zoomScaleNormal="110" workbookViewId="0">
      <selection activeCell="K16" sqref="K16"/>
    </sheetView>
  </sheetViews>
  <sheetFormatPr baseColWidth="10" defaultRowHeight="12.75"/>
  <cols>
    <col min="1" max="1" width="1.7109375" customWidth="1"/>
    <col min="2" max="2" width="9.42578125" customWidth="1"/>
    <col min="3" max="6" width="16.42578125" bestFit="1" customWidth="1"/>
    <col min="7" max="7" width="17.7109375" bestFit="1" customWidth="1"/>
    <col min="8" max="8" width="1.7109375" customWidth="1"/>
  </cols>
  <sheetData>
    <row r="1" spans="1:8" s="46" customFormat="1" ht="12" customHeight="1">
      <c r="A1" s="258"/>
      <c r="B1" s="259"/>
      <c r="C1" s="260"/>
      <c r="D1" s="260"/>
      <c r="E1" s="260"/>
      <c r="F1" s="260"/>
      <c r="G1" s="260"/>
      <c r="H1" s="261"/>
    </row>
    <row r="2" spans="1:8" ht="15.75">
      <c r="A2" s="262"/>
      <c r="B2" s="1098" t="s">
        <v>596</v>
      </c>
      <c r="C2" s="1098"/>
      <c r="D2" s="1098"/>
      <c r="E2" s="1098"/>
      <c r="F2" s="1098"/>
      <c r="G2" s="1098"/>
      <c r="H2" s="263"/>
    </row>
    <row r="3" spans="1:8" ht="15.75" thickBot="1">
      <c r="A3" s="400"/>
      <c r="B3" s="412" t="s">
        <v>112</v>
      </c>
      <c r="C3" s="394"/>
      <c r="D3" s="394"/>
      <c r="E3" s="394"/>
      <c r="F3" s="394"/>
      <c r="G3" s="394"/>
      <c r="H3" s="263"/>
    </row>
    <row r="4" spans="1:8" ht="21" customHeight="1" thickBot="1">
      <c r="A4" s="400"/>
      <c r="B4" s="703" t="s">
        <v>256</v>
      </c>
      <c r="C4" s="703" t="s">
        <v>280</v>
      </c>
      <c r="D4" s="703" t="s">
        <v>281</v>
      </c>
      <c r="E4" s="703" t="s">
        <v>282</v>
      </c>
      <c r="F4" s="992" t="s">
        <v>601</v>
      </c>
      <c r="G4" s="703" t="s">
        <v>255</v>
      </c>
      <c r="H4" s="263"/>
    </row>
    <row r="5" spans="1:8" ht="15" customHeight="1" thickBot="1">
      <c r="A5" s="400"/>
      <c r="B5" s="434">
        <v>2002</v>
      </c>
      <c r="C5" s="480">
        <v>2293</v>
      </c>
      <c r="D5" s="480">
        <v>1146</v>
      </c>
      <c r="E5" s="480">
        <v>695</v>
      </c>
      <c r="F5" s="480">
        <v>6285</v>
      </c>
      <c r="G5" s="482">
        <v>10419</v>
      </c>
      <c r="H5" s="265"/>
    </row>
    <row r="6" spans="1:8" ht="15" customHeight="1" thickBot="1">
      <c r="A6" s="400"/>
      <c r="B6" s="435">
        <v>2003</v>
      </c>
      <c r="C6" s="481">
        <v>4237.6822999400001</v>
      </c>
      <c r="D6" s="481">
        <v>2147.5491737686311</v>
      </c>
      <c r="E6" s="481">
        <v>1926.7617790868337</v>
      </c>
      <c r="F6" s="481">
        <v>4121.4896577</v>
      </c>
      <c r="G6" s="482">
        <v>12433.482910495464</v>
      </c>
      <c r="H6" s="265"/>
    </row>
    <row r="7" spans="1:8" ht="15" customHeight="1" thickBot="1">
      <c r="A7" s="400"/>
      <c r="B7" s="434">
        <v>2004</v>
      </c>
      <c r="C7" s="480">
        <v>4071.4475795640005</v>
      </c>
      <c r="D7" s="480">
        <v>3035.4075303776663</v>
      </c>
      <c r="E7" s="480">
        <v>1386.462534168094</v>
      </c>
      <c r="F7" s="480">
        <v>4996.0458591836723</v>
      </c>
      <c r="G7" s="482">
        <v>13489.363503293433</v>
      </c>
      <c r="H7" s="265"/>
    </row>
    <row r="8" spans="1:8" ht="15" customHeight="1" thickBot="1">
      <c r="A8" s="400"/>
      <c r="B8" s="435">
        <v>2005</v>
      </c>
      <c r="C8" s="481">
        <v>7085.2770266450079</v>
      </c>
      <c r="D8" s="481">
        <v>4988.4086592830499</v>
      </c>
      <c r="E8" s="481">
        <v>2917.7999596649224</v>
      </c>
      <c r="F8" s="481">
        <v>6615.8627616949598</v>
      </c>
      <c r="G8" s="482">
        <v>21607.34840728794</v>
      </c>
      <c r="H8" s="265"/>
    </row>
    <row r="9" spans="1:8" ht="15" customHeight="1" thickBot="1">
      <c r="A9" s="400"/>
      <c r="B9" s="434">
        <v>2006</v>
      </c>
      <c r="C9" s="480">
        <v>5771.3962180547605</v>
      </c>
      <c r="D9" s="480">
        <v>2699.2173367951941</v>
      </c>
      <c r="E9" s="480">
        <v>2817.3939391910171</v>
      </c>
      <c r="F9" s="480">
        <v>4440.5147086100005</v>
      </c>
      <c r="G9" s="482">
        <v>15728.522202650973</v>
      </c>
      <c r="H9" s="265"/>
    </row>
    <row r="10" spans="1:8" ht="15" customHeight="1" thickBot="1">
      <c r="A10" s="400"/>
      <c r="B10" s="435">
        <v>2007</v>
      </c>
      <c r="C10" s="481">
        <v>9432.6144038057009</v>
      </c>
      <c r="D10" s="481">
        <v>4140.4379262282173</v>
      </c>
      <c r="E10" s="481">
        <v>2714.1753860010426</v>
      </c>
      <c r="F10" s="481">
        <v>5230.1596738640355</v>
      </c>
      <c r="G10" s="482">
        <v>21517.387389898999</v>
      </c>
      <c r="H10" s="265"/>
    </row>
    <row r="11" spans="1:8" ht="15" customHeight="1" thickBot="1">
      <c r="A11" s="400"/>
      <c r="B11" s="434">
        <v>2008</v>
      </c>
      <c r="C11" s="480">
        <v>12318.741223349318</v>
      </c>
      <c r="D11" s="480">
        <v>6279.1612472628185</v>
      </c>
      <c r="E11" s="480">
        <v>3237.167335840531</v>
      </c>
      <c r="F11" s="480">
        <v>4484.7309449354952</v>
      </c>
      <c r="G11" s="482">
        <v>26319.80075138816</v>
      </c>
      <c r="H11" s="265"/>
    </row>
    <row r="12" spans="1:8" ht="15" customHeight="1" thickBot="1">
      <c r="A12" s="400"/>
      <c r="B12" s="440">
        <v>2009</v>
      </c>
      <c r="C12" s="482">
        <v>14815.279643046</v>
      </c>
      <c r="D12" s="482">
        <v>5596.2922273299355</v>
      </c>
      <c r="E12" s="483">
        <v>3642.5786518454997</v>
      </c>
      <c r="F12" s="483">
        <v>6192.8062995294667</v>
      </c>
      <c r="G12" s="482">
        <v>30246.9568217509</v>
      </c>
      <c r="H12" s="265"/>
    </row>
    <row r="13" spans="1:8" ht="15.75" customHeight="1">
      <c r="A13" s="263"/>
      <c r="B13" s="1099" t="s">
        <v>602</v>
      </c>
      <c r="C13" s="1099"/>
      <c r="D13" s="1099"/>
      <c r="E13" s="1099"/>
      <c r="F13" s="1099"/>
      <c r="G13" s="1099"/>
      <c r="H13" s="263"/>
    </row>
    <row r="14" spans="1:8" ht="12" customHeight="1">
      <c r="A14" s="263"/>
      <c r="B14" s="1096" t="s">
        <v>277</v>
      </c>
      <c r="C14" s="1096"/>
      <c r="D14" s="1096"/>
      <c r="E14" s="1096"/>
      <c r="F14" s="1096"/>
      <c r="G14" s="1096"/>
      <c r="H14" s="265"/>
    </row>
    <row r="15" spans="1:8">
      <c r="B15" s="10"/>
      <c r="C15" s="10"/>
      <c r="D15" s="10"/>
      <c r="E15" s="10"/>
      <c r="F15" s="10"/>
      <c r="G15" s="10"/>
      <c r="H15" s="10"/>
    </row>
    <row r="17" spans="2:10">
      <c r="J17" s="3"/>
    </row>
    <row r="18" spans="2:10">
      <c r="C18" s="62"/>
      <c r="D18" s="62"/>
      <c r="E18" s="62"/>
      <c r="F18" s="62"/>
    </row>
    <row r="19" spans="2:10">
      <c r="C19" s="392"/>
      <c r="D19" s="392"/>
      <c r="E19" s="392"/>
      <c r="F19" s="392"/>
      <c r="G19" s="191"/>
    </row>
    <row r="20" spans="2:10">
      <c r="C20" s="191"/>
      <c r="D20" s="191"/>
      <c r="E20" s="191"/>
      <c r="F20" s="191"/>
      <c r="G20" s="191"/>
    </row>
    <row r="22" spans="2:10">
      <c r="B22" s="235"/>
    </row>
    <row r="29" spans="2:10">
      <c r="B29" s="242"/>
      <c r="G29">
        <v>30247</v>
      </c>
    </row>
  </sheetData>
  <sheetProtection password="CF4C" sheet="1" objects="1" scenarios="1"/>
  <mergeCells count="3">
    <mergeCell ref="B2:G2"/>
    <mergeCell ref="B13:G13"/>
    <mergeCell ref="B14:G14"/>
  </mergeCells>
  <printOptions horizontalCentered="1"/>
  <pageMargins left="0.19685039370078741" right="0.19685039370078741" top="0.59055118110236227" bottom="0.59055118110236227" header="0" footer="0.3937007874015748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L43"/>
  <sheetViews>
    <sheetView showGridLines="0" zoomScaleSheetLayoutView="75" workbookViewId="0">
      <selection activeCell="L14" sqref="L14"/>
    </sheetView>
  </sheetViews>
  <sheetFormatPr baseColWidth="10" defaultRowHeight="12.75"/>
  <cols>
    <col min="1" max="1" width="1.7109375" style="533" customWidth="1"/>
    <col min="2" max="2" width="19.85546875" style="533" customWidth="1"/>
    <col min="3" max="3" width="18.140625" style="533" bestFit="1" customWidth="1"/>
    <col min="4" max="4" width="18.140625" style="533" customWidth="1"/>
    <col min="5" max="5" width="16.28515625" style="533" customWidth="1"/>
    <col min="6" max="6" width="6.7109375" style="533" customWidth="1"/>
    <col min="7" max="7" width="15.85546875" style="533" customWidth="1"/>
    <col min="8" max="8" width="6.7109375" style="533" customWidth="1"/>
    <col min="9" max="9" width="15" style="533" bestFit="1" customWidth="1"/>
    <col min="10" max="10" width="6.7109375" style="533" customWidth="1"/>
    <col min="11" max="11" width="16" style="533" bestFit="1" customWidth="1"/>
    <col min="12" max="12" width="6.7109375" style="533" customWidth="1"/>
    <col min="13" max="13" width="1.7109375" style="533" customWidth="1"/>
    <col min="14" max="16384" width="11.42578125" style="533"/>
  </cols>
  <sheetData>
    <row r="1" spans="2:12" s="711" customFormat="1" ht="12" customHeight="1">
      <c r="B1" s="709"/>
      <c r="C1" s="710"/>
      <c r="D1" s="710"/>
      <c r="E1" s="710"/>
      <c r="F1" s="710"/>
      <c r="G1" s="710"/>
      <c r="H1" s="710"/>
      <c r="I1" s="710"/>
      <c r="J1" s="710"/>
      <c r="K1" s="710"/>
    </row>
    <row r="2" spans="2:12" ht="36" customHeight="1" thickBot="1">
      <c r="B2" s="1154" t="s">
        <v>548</v>
      </c>
      <c r="C2" s="1154"/>
      <c r="D2" s="1154"/>
      <c r="E2" s="1154"/>
      <c r="F2" s="1154"/>
      <c r="G2" s="1154"/>
      <c r="H2" s="1154"/>
      <c r="I2" s="1154"/>
      <c r="J2" s="1154"/>
      <c r="K2" s="1154"/>
      <c r="L2" s="1154"/>
    </row>
    <row r="3" spans="2:12" ht="16.5" customHeight="1" thickBot="1">
      <c r="B3" s="1155" t="s">
        <v>230</v>
      </c>
      <c r="C3" s="1155" t="s">
        <v>530</v>
      </c>
      <c r="D3" s="1155" t="s">
        <v>531</v>
      </c>
      <c r="E3" s="1158" t="s">
        <v>532</v>
      </c>
      <c r="F3" s="1159"/>
      <c r="G3" s="1159"/>
      <c r="H3" s="1160"/>
      <c r="I3" s="1158" t="s">
        <v>533</v>
      </c>
      <c r="J3" s="1159"/>
      <c r="K3" s="1159"/>
      <c r="L3" s="1160"/>
    </row>
    <row r="4" spans="2:12" ht="16.5" customHeight="1" thickBot="1">
      <c r="B4" s="1156"/>
      <c r="C4" s="1156"/>
      <c r="D4" s="1156"/>
      <c r="E4" s="1161" t="s">
        <v>289</v>
      </c>
      <c r="F4" s="1162"/>
      <c r="G4" s="1163" t="s">
        <v>290</v>
      </c>
      <c r="H4" s="1164"/>
      <c r="I4" s="1161" t="s">
        <v>289</v>
      </c>
      <c r="J4" s="1162"/>
      <c r="K4" s="1163" t="s">
        <v>290</v>
      </c>
      <c r="L4" s="1164"/>
    </row>
    <row r="5" spans="2:12" ht="16.5" customHeight="1" thickBot="1">
      <c r="B5" s="1157"/>
      <c r="C5" s="1157"/>
      <c r="D5" s="1157"/>
      <c r="E5" s="852" t="s">
        <v>534</v>
      </c>
      <c r="F5" s="852" t="s">
        <v>51</v>
      </c>
      <c r="G5" s="853" t="s">
        <v>534</v>
      </c>
      <c r="H5" s="853" t="s">
        <v>51</v>
      </c>
      <c r="I5" s="854" t="s">
        <v>534</v>
      </c>
      <c r="J5" s="855" t="s">
        <v>51</v>
      </c>
      <c r="K5" s="853" t="s">
        <v>534</v>
      </c>
      <c r="L5" s="853" t="s">
        <v>51</v>
      </c>
    </row>
    <row r="6" spans="2:12" ht="15" customHeight="1" thickBot="1">
      <c r="B6" s="828" t="s">
        <v>6</v>
      </c>
      <c r="C6" s="876">
        <v>1140554.2527594205</v>
      </c>
      <c r="D6" s="876">
        <v>1121166.7301017111</v>
      </c>
      <c r="E6" s="877">
        <v>1089974.4313993403</v>
      </c>
      <c r="F6" s="883">
        <v>97.217871538201891</v>
      </c>
      <c r="G6" s="878">
        <v>1085424.4954859</v>
      </c>
      <c r="H6" s="768">
        <v>96.81205001395567</v>
      </c>
      <c r="I6" s="755">
        <v>31192.298702370841</v>
      </c>
      <c r="J6" s="754">
        <v>2.7821284617981044</v>
      </c>
      <c r="K6" s="770">
        <v>35742.234615811147</v>
      </c>
      <c r="L6" s="768">
        <v>3.1879499860443277</v>
      </c>
    </row>
    <row r="7" spans="2:12" ht="15" customHeight="1" thickBot="1">
      <c r="B7" s="829" t="s">
        <v>7</v>
      </c>
      <c r="C7" s="879">
        <v>3206148.0313079292</v>
      </c>
      <c r="D7" s="879">
        <v>2935607.9584406344</v>
      </c>
      <c r="E7" s="880">
        <v>2650121.6574064801</v>
      </c>
      <c r="F7" s="884">
        <v>90.275053580867052</v>
      </c>
      <c r="G7" s="881">
        <v>2475523.1944748103</v>
      </c>
      <c r="H7" s="769">
        <v>84.327445269285334</v>
      </c>
      <c r="I7" s="753">
        <v>285486.30103415437</v>
      </c>
      <c r="J7" s="752">
        <v>9.7249464191329498</v>
      </c>
      <c r="K7" s="771">
        <v>460084.76396582415</v>
      </c>
      <c r="L7" s="769">
        <v>15.672554730714674</v>
      </c>
    </row>
    <row r="8" spans="2:12" ht="15" customHeight="1" thickBot="1">
      <c r="B8" s="828" t="s">
        <v>8</v>
      </c>
      <c r="C8" s="876">
        <v>570737.45055311196</v>
      </c>
      <c r="D8" s="876">
        <v>538923.46783784567</v>
      </c>
      <c r="E8" s="882">
        <v>455236.71851072501</v>
      </c>
      <c r="F8" s="885">
        <v>84.471496544236444</v>
      </c>
      <c r="G8" s="878">
        <v>493904.1329405891</v>
      </c>
      <c r="H8" s="768">
        <v>91.646432641377899</v>
      </c>
      <c r="I8" s="750">
        <v>83686.749327120662</v>
      </c>
      <c r="J8" s="749">
        <v>15.528503455763557</v>
      </c>
      <c r="K8" s="770">
        <v>45019.334897256573</v>
      </c>
      <c r="L8" s="768">
        <v>8.3535673586221044</v>
      </c>
    </row>
    <row r="9" spans="2:12" ht="15" customHeight="1" thickBot="1">
      <c r="B9" s="829" t="s">
        <v>9</v>
      </c>
      <c r="C9" s="879">
        <v>793309.80474711384</v>
      </c>
      <c r="D9" s="879">
        <v>779023.10796450428</v>
      </c>
      <c r="E9" s="880">
        <v>723907.07915369875</v>
      </c>
      <c r="F9" s="884">
        <v>92.924981525282703</v>
      </c>
      <c r="G9" s="881">
        <v>604482.87833171</v>
      </c>
      <c r="H9" s="769">
        <v>77.594986869022748</v>
      </c>
      <c r="I9" s="753">
        <v>55116.028810805525</v>
      </c>
      <c r="J9" s="752">
        <v>7.0750184747172931</v>
      </c>
      <c r="K9" s="771">
        <v>174540.22963279427</v>
      </c>
      <c r="L9" s="769">
        <v>22.405013130977252</v>
      </c>
    </row>
    <row r="10" spans="2:12" ht="15" customHeight="1" thickBot="1">
      <c r="B10" s="828" t="s">
        <v>12</v>
      </c>
      <c r="C10" s="876">
        <v>4495212.6961562168</v>
      </c>
      <c r="D10" s="876">
        <v>4332116.8802216789</v>
      </c>
      <c r="E10" s="882">
        <v>3483302.6334236758</v>
      </c>
      <c r="F10" s="885">
        <v>80.406478627728788</v>
      </c>
      <c r="G10" s="878">
        <v>3280815.445898803</v>
      </c>
      <c r="H10" s="768">
        <v>75.732385265905393</v>
      </c>
      <c r="I10" s="750">
        <v>848814.24679800309</v>
      </c>
      <c r="J10" s="749">
        <v>19.593521372271201</v>
      </c>
      <c r="K10" s="770">
        <v>1051301.4343228759</v>
      </c>
      <c r="L10" s="768">
        <v>24.267614734094611</v>
      </c>
    </row>
    <row r="11" spans="2:12" ht="15" customHeight="1" thickBot="1">
      <c r="B11" s="829" t="s">
        <v>13</v>
      </c>
      <c r="C11" s="879">
        <v>3380404.8786367266</v>
      </c>
      <c r="D11" s="879">
        <v>3209975.1018788111</v>
      </c>
      <c r="E11" s="880">
        <v>3052498.7856694055</v>
      </c>
      <c r="F11" s="884">
        <v>95.094157704923191</v>
      </c>
      <c r="G11" s="881">
        <v>2894825.6832563751</v>
      </c>
      <c r="H11" s="769">
        <v>90.182184950968065</v>
      </c>
      <c r="I11" s="753">
        <v>157476.31620940566</v>
      </c>
      <c r="J11" s="752">
        <v>4.9058422950768108</v>
      </c>
      <c r="K11" s="771">
        <v>315149.418622436</v>
      </c>
      <c r="L11" s="769">
        <v>9.8178150490319318</v>
      </c>
    </row>
    <row r="12" spans="2:12" ht="15" customHeight="1" thickBot="1">
      <c r="B12" s="828" t="s">
        <v>223</v>
      </c>
      <c r="C12" s="876">
        <v>2611845.3134532459</v>
      </c>
      <c r="D12" s="876">
        <v>2564696.4591142298</v>
      </c>
      <c r="E12" s="882">
        <v>2496815.1728924201</v>
      </c>
      <c r="F12" s="885">
        <v>97.35324287673194</v>
      </c>
      <c r="G12" s="878">
        <v>2380735.8187950128</v>
      </c>
      <c r="H12" s="768">
        <v>92.827196385542194</v>
      </c>
      <c r="I12" s="750">
        <v>67881.286221809685</v>
      </c>
      <c r="J12" s="749">
        <v>2.6467571232680642</v>
      </c>
      <c r="K12" s="770">
        <v>183960.640319217</v>
      </c>
      <c r="L12" s="768">
        <v>7.1728036144578127</v>
      </c>
    </row>
    <row r="13" spans="2:12" ht="15" customHeight="1" thickBot="1">
      <c r="B13" s="829" t="s">
        <v>11</v>
      </c>
      <c r="C13" s="879">
        <v>600464.27059090219</v>
      </c>
      <c r="D13" s="879">
        <v>574338.21176266135</v>
      </c>
      <c r="E13" s="880">
        <v>554812.04991803074</v>
      </c>
      <c r="F13" s="884">
        <v>96.600232851527636</v>
      </c>
      <c r="G13" s="881">
        <v>559675.17138425366</v>
      </c>
      <c r="H13" s="769">
        <v>97.446967644133181</v>
      </c>
      <c r="I13" s="753">
        <v>19526.161844630609</v>
      </c>
      <c r="J13" s="752">
        <v>3.3997671484723657</v>
      </c>
      <c r="K13" s="771">
        <v>14663.040378407692</v>
      </c>
      <c r="L13" s="769">
        <v>2.5530323558668293</v>
      </c>
    </row>
    <row r="14" spans="2:12" ht="15" customHeight="1" thickBot="1">
      <c r="B14" s="828" t="s">
        <v>14</v>
      </c>
      <c r="C14" s="876">
        <v>8747601.9161768053</v>
      </c>
      <c r="D14" s="876">
        <v>8431184.4896792453</v>
      </c>
      <c r="E14" s="882">
        <v>8296349.4791145409</v>
      </c>
      <c r="F14" s="885">
        <v>98.400758390119933</v>
      </c>
      <c r="G14" s="878">
        <v>8337768.5056469524</v>
      </c>
      <c r="H14" s="768">
        <v>98.892018266868149</v>
      </c>
      <c r="I14" s="750">
        <v>134835.01056470443</v>
      </c>
      <c r="J14" s="749">
        <v>1.5992416098800617</v>
      </c>
      <c r="K14" s="770">
        <v>93415.98403229285</v>
      </c>
      <c r="L14" s="768">
        <v>1.1079817331318622</v>
      </c>
    </row>
    <row r="15" spans="2:12" ht="15" customHeight="1" thickBot="1">
      <c r="B15" s="829" t="s">
        <v>15</v>
      </c>
      <c r="C15" s="879">
        <v>1535446.5527644223</v>
      </c>
      <c r="D15" s="879">
        <v>1505752.5409209717</v>
      </c>
      <c r="E15" s="880">
        <v>1439470.4224864687</v>
      </c>
      <c r="F15" s="884">
        <v>95.598073612151268</v>
      </c>
      <c r="G15" s="881">
        <v>1345088.3343472204</v>
      </c>
      <c r="H15" s="769">
        <v>89.329972740707888</v>
      </c>
      <c r="I15" s="753">
        <v>66282.118434502976</v>
      </c>
      <c r="J15" s="752">
        <v>4.4019263878487287</v>
      </c>
      <c r="K15" s="771">
        <v>160664.20657375129</v>
      </c>
      <c r="L15" s="769">
        <v>10.670027259292111</v>
      </c>
    </row>
    <row r="16" spans="2:12" ht="15" customHeight="1" thickBot="1">
      <c r="B16" s="828" t="s">
        <v>16</v>
      </c>
      <c r="C16" s="876">
        <v>4999900.9616513811</v>
      </c>
      <c r="D16" s="876">
        <v>4918435.3934574481</v>
      </c>
      <c r="E16" s="882">
        <v>4663100.1990057854</v>
      </c>
      <c r="F16" s="885">
        <v>94.808609364040606</v>
      </c>
      <c r="G16" s="878">
        <v>4259805.7123079849</v>
      </c>
      <c r="H16" s="768">
        <v>86.608959385222803</v>
      </c>
      <c r="I16" s="750">
        <v>255335.19445166271</v>
      </c>
      <c r="J16" s="749">
        <v>5.1913906359593973</v>
      </c>
      <c r="K16" s="770">
        <v>658629.68114946317</v>
      </c>
      <c r="L16" s="768">
        <v>13.391040614777189</v>
      </c>
    </row>
    <row r="17" spans="2:12" ht="15" customHeight="1" thickBot="1">
      <c r="B17" s="829" t="s">
        <v>17</v>
      </c>
      <c r="C17" s="879">
        <v>3098594.6893406566</v>
      </c>
      <c r="D17" s="879">
        <v>3038156.5227372628</v>
      </c>
      <c r="E17" s="880">
        <v>2362647.3730408619</v>
      </c>
      <c r="F17" s="884">
        <v>77.765821324840985</v>
      </c>
      <c r="G17" s="881">
        <v>2183744.5190397454</v>
      </c>
      <c r="H17" s="769">
        <v>71.877288174484022</v>
      </c>
      <c r="I17" s="753">
        <v>675509.14969640085</v>
      </c>
      <c r="J17" s="752">
        <v>22.234178675159004</v>
      </c>
      <c r="K17" s="771">
        <v>854412.00369751733</v>
      </c>
      <c r="L17" s="769">
        <v>28.122711825515985</v>
      </c>
    </row>
    <row r="18" spans="2:12" ht="15" customHeight="1" thickBot="1">
      <c r="B18" s="828" t="s">
        <v>18</v>
      </c>
      <c r="C18" s="876">
        <v>2399335.6295914669</v>
      </c>
      <c r="D18" s="876">
        <v>2365500.036205166</v>
      </c>
      <c r="E18" s="882">
        <v>2202341.5832837066</v>
      </c>
      <c r="F18" s="885">
        <v>93.102580831780273</v>
      </c>
      <c r="G18" s="878">
        <v>1921236.8538419891</v>
      </c>
      <c r="H18" s="768">
        <v>81.219058314795774</v>
      </c>
      <c r="I18" s="750">
        <v>163158.45292145945</v>
      </c>
      <c r="J18" s="749">
        <v>6.8974191682197166</v>
      </c>
      <c r="K18" s="770">
        <v>444263.18236317695</v>
      </c>
      <c r="L18" s="768">
        <v>18.780941685204219</v>
      </c>
    </row>
    <row r="19" spans="2:12" ht="15" customHeight="1" thickBot="1">
      <c r="B19" s="829" t="s">
        <v>19</v>
      </c>
      <c r="C19" s="879">
        <v>6992929.8956889305</v>
      </c>
      <c r="D19" s="879">
        <v>6750301.0462942189</v>
      </c>
      <c r="E19" s="880">
        <v>6311451.5418169014</v>
      </c>
      <c r="F19" s="884">
        <v>93.498815808841044</v>
      </c>
      <c r="G19" s="881">
        <v>6532399.4887706973</v>
      </c>
      <c r="H19" s="769">
        <v>96.771972745672656</v>
      </c>
      <c r="I19" s="753">
        <v>438849.50447731744</v>
      </c>
      <c r="J19" s="752">
        <v>6.5011841911589565</v>
      </c>
      <c r="K19" s="771">
        <v>217901.55752352159</v>
      </c>
      <c r="L19" s="769">
        <v>3.2280272543273494</v>
      </c>
    </row>
    <row r="20" spans="2:12" ht="15" customHeight="1" thickBot="1">
      <c r="B20" s="828" t="s">
        <v>20</v>
      </c>
      <c r="C20" s="876">
        <v>14859656.325816546</v>
      </c>
      <c r="D20" s="876">
        <v>14170217.23214094</v>
      </c>
      <c r="E20" s="882">
        <v>12767922.085934913</v>
      </c>
      <c r="F20" s="885">
        <v>90.10392626144548</v>
      </c>
      <c r="G20" s="878">
        <v>12481040.978046034</v>
      </c>
      <c r="H20" s="768">
        <v>88.079390552577337</v>
      </c>
      <c r="I20" s="750">
        <v>1402295.1462060269</v>
      </c>
      <c r="J20" s="749">
        <v>9.8960737385545219</v>
      </c>
      <c r="K20" s="770">
        <v>1689176.2540949062</v>
      </c>
      <c r="L20" s="768">
        <v>11.920609447422658</v>
      </c>
    </row>
    <row r="21" spans="2:12" ht="15" customHeight="1" thickBot="1">
      <c r="B21" s="829" t="s">
        <v>224</v>
      </c>
      <c r="C21" s="879">
        <v>3910311.9316089135</v>
      </c>
      <c r="D21" s="879">
        <v>3820898.0201084539</v>
      </c>
      <c r="E21" s="880">
        <v>3580948.5506151193</v>
      </c>
      <c r="F21" s="884">
        <v>93.7200765832917</v>
      </c>
      <c r="G21" s="881">
        <v>3387943.7345410446</v>
      </c>
      <c r="H21" s="769">
        <v>88.668781964635627</v>
      </c>
      <c r="I21" s="753">
        <v>239949.46949333465</v>
      </c>
      <c r="J21" s="752">
        <v>6.2799234167083009</v>
      </c>
      <c r="K21" s="771">
        <v>432954.28556740936</v>
      </c>
      <c r="L21" s="769">
        <v>11.331218035364373</v>
      </c>
    </row>
    <row r="22" spans="2:12" ht="15" customHeight="1" thickBot="1">
      <c r="B22" s="828" t="s">
        <v>22</v>
      </c>
      <c r="C22" s="876">
        <v>1668626.8536150113</v>
      </c>
      <c r="D22" s="876">
        <v>1594221.878907142</v>
      </c>
      <c r="E22" s="882">
        <v>1473370.7573914775</v>
      </c>
      <c r="F22" s="885">
        <v>92.419428994506745</v>
      </c>
      <c r="G22" s="878">
        <v>1525448.5852795208</v>
      </c>
      <c r="H22" s="768">
        <v>95.686090215073065</v>
      </c>
      <c r="I22" s="750">
        <v>120851.1215156645</v>
      </c>
      <c r="J22" s="749">
        <v>7.5805710054932485</v>
      </c>
      <c r="K22" s="770">
        <v>68773.29362762114</v>
      </c>
      <c r="L22" s="768">
        <v>4.3139097849269294</v>
      </c>
    </row>
    <row r="23" spans="2:12" ht="15" customHeight="1" thickBot="1">
      <c r="B23" s="829" t="s">
        <v>23</v>
      </c>
      <c r="C23" s="879">
        <v>960838.02746493765</v>
      </c>
      <c r="D23" s="879">
        <v>938989.2303330336</v>
      </c>
      <c r="E23" s="880">
        <v>912038.98948837258</v>
      </c>
      <c r="F23" s="884">
        <v>97.129866885150278</v>
      </c>
      <c r="G23" s="881">
        <v>901519.51875032648</v>
      </c>
      <c r="H23" s="769">
        <v>96.009569612484512</v>
      </c>
      <c r="I23" s="753">
        <v>26950.240844661021</v>
      </c>
      <c r="J23" s="752">
        <v>2.870133114849732</v>
      </c>
      <c r="K23" s="771">
        <v>37469.711582707125</v>
      </c>
      <c r="L23" s="769">
        <v>3.9904303875154832</v>
      </c>
    </row>
    <row r="24" spans="2:12" ht="15" customHeight="1" thickBot="1">
      <c r="B24" s="828" t="s">
        <v>24</v>
      </c>
      <c r="C24" s="876">
        <v>4433318.2599767447</v>
      </c>
      <c r="D24" s="876">
        <v>4334816.2550438121</v>
      </c>
      <c r="E24" s="882">
        <v>4118873.4251782801</v>
      </c>
      <c r="F24" s="885">
        <v>95.018408690004563</v>
      </c>
      <c r="G24" s="878">
        <v>4127642.4285779381</v>
      </c>
      <c r="H24" s="768">
        <v>95.220701079894326</v>
      </c>
      <c r="I24" s="750">
        <v>215942.829865532</v>
      </c>
      <c r="J24" s="749">
        <v>4.9815913099954328</v>
      </c>
      <c r="K24" s="770">
        <v>207173.82646587398</v>
      </c>
      <c r="L24" s="768">
        <v>4.7792989201056706</v>
      </c>
    </row>
    <row r="25" spans="2:12" ht="15" customHeight="1" thickBot="1">
      <c r="B25" s="829" t="s">
        <v>25</v>
      </c>
      <c r="C25" s="879">
        <v>3503398.745680063</v>
      </c>
      <c r="D25" s="879">
        <v>3444324.1789927576</v>
      </c>
      <c r="E25" s="880">
        <v>2802318.8696475532</v>
      </c>
      <c r="F25" s="884">
        <v>81.360485367177333</v>
      </c>
      <c r="G25" s="881">
        <v>2278781.4113324317</v>
      </c>
      <c r="H25" s="769">
        <v>66.160480050946546</v>
      </c>
      <c r="I25" s="753">
        <v>642005.30934520438</v>
      </c>
      <c r="J25" s="752">
        <v>18.639514632822671</v>
      </c>
      <c r="K25" s="771">
        <v>1165542.7676603259</v>
      </c>
      <c r="L25" s="769">
        <v>33.839519949053454</v>
      </c>
    </row>
    <row r="26" spans="2:12" ht="15" customHeight="1" thickBot="1">
      <c r="B26" s="828" t="s">
        <v>36</v>
      </c>
      <c r="C26" s="876">
        <v>5621159.8078663982</v>
      </c>
      <c r="D26" s="876">
        <v>5480693.2984076049</v>
      </c>
      <c r="E26" s="882">
        <v>4654805.2656173343</v>
      </c>
      <c r="F26" s="885">
        <v>84.930956946081452</v>
      </c>
      <c r="G26" s="878">
        <v>4401079.9557495508</v>
      </c>
      <c r="H26" s="768">
        <v>80.301518733556364</v>
      </c>
      <c r="I26" s="750">
        <v>825888.03279027063</v>
      </c>
      <c r="J26" s="749">
        <v>15.069043053918548</v>
      </c>
      <c r="K26" s="770">
        <v>1079613.3426580541</v>
      </c>
      <c r="L26" s="768">
        <v>19.69848126644364</v>
      </c>
    </row>
    <row r="27" spans="2:12" ht="15" customHeight="1" thickBot="1">
      <c r="B27" s="829" t="s">
        <v>225</v>
      </c>
      <c r="C27" s="879">
        <v>1726352.3542115479</v>
      </c>
      <c r="D27" s="879">
        <v>1670868.0206074282</v>
      </c>
      <c r="E27" s="880">
        <v>1523752.8615169069</v>
      </c>
      <c r="F27" s="884">
        <v>91.195285487776644</v>
      </c>
      <c r="G27" s="881">
        <v>1409582.8881870382</v>
      </c>
      <c r="H27" s="769">
        <v>84.3623117327123</v>
      </c>
      <c r="I27" s="753">
        <v>147115.15909052128</v>
      </c>
      <c r="J27" s="752">
        <v>8.8047145122233506</v>
      </c>
      <c r="K27" s="771">
        <v>261285.13242038991</v>
      </c>
      <c r="L27" s="769">
        <v>15.637688267287695</v>
      </c>
    </row>
    <row r="28" spans="2:12" ht="15" customHeight="1" thickBot="1">
      <c r="B28" s="828" t="s">
        <v>27</v>
      </c>
      <c r="C28" s="876">
        <v>1328275.1472309921</v>
      </c>
      <c r="D28" s="876">
        <v>1156324.6981523046</v>
      </c>
      <c r="E28" s="882">
        <v>1047689.6284753883</v>
      </c>
      <c r="F28" s="885">
        <v>90.605141458060629</v>
      </c>
      <c r="G28" s="878">
        <v>980783.96502675337</v>
      </c>
      <c r="H28" s="768">
        <v>84.819079501973079</v>
      </c>
      <c r="I28" s="750">
        <v>108635.06967691635</v>
      </c>
      <c r="J28" s="749">
        <v>9.3948585419393638</v>
      </c>
      <c r="K28" s="770">
        <v>175540.73312555125</v>
      </c>
      <c r="L28" s="768">
        <v>15.180920498026932</v>
      </c>
    </row>
    <row r="29" spans="2:12" ht="15" customHeight="1" thickBot="1">
      <c r="B29" s="829" t="s">
        <v>28</v>
      </c>
      <c r="C29" s="879">
        <v>2460692.7635816466</v>
      </c>
      <c r="D29" s="879">
        <v>2429836.6451032273</v>
      </c>
      <c r="E29" s="880">
        <v>2133740.574443277</v>
      </c>
      <c r="F29" s="884">
        <v>87.814157332071545</v>
      </c>
      <c r="G29" s="881">
        <v>1888153.3399813059</v>
      </c>
      <c r="H29" s="769">
        <v>77.707007332630411</v>
      </c>
      <c r="I29" s="753">
        <v>296096.07065995038</v>
      </c>
      <c r="J29" s="752">
        <v>12.185842667928455</v>
      </c>
      <c r="K29" s="771">
        <v>541683.30512192147</v>
      </c>
      <c r="L29" s="769">
        <v>22.292992667369578</v>
      </c>
    </row>
    <row r="30" spans="2:12" ht="15" customHeight="1" thickBot="1">
      <c r="B30" s="828" t="s">
        <v>29</v>
      </c>
      <c r="C30" s="876">
        <v>2628553.3702420918</v>
      </c>
      <c r="D30" s="876">
        <v>2537743.0844748951</v>
      </c>
      <c r="E30" s="882">
        <v>2427723.2569565894</v>
      </c>
      <c r="F30" s="885">
        <v>95.664658562508862</v>
      </c>
      <c r="G30" s="878">
        <v>2353705.9565255372</v>
      </c>
      <c r="H30" s="768">
        <v>92.748000021151128</v>
      </c>
      <c r="I30" s="750">
        <v>110019.82751830574</v>
      </c>
      <c r="J30" s="749">
        <v>4.3353414374911328</v>
      </c>
      <c r="K30" s="770">
        <v>184037.12794935796</v>
      </c>
      <c r="L30" s="768">
        <v>7.2519999788488665</v>
      </c>
    </row>
    <row r="31" spans="2:12" ht="15" customHeight="1" thickBot="1">
      <c r="B31" s="829" t="s">
        <v>37</v>
      </c>
      <c r="C31" s="879">
        <v>2494938.4770204797</v>
      </c>
      <c r="D31" s="879">
        <v>2411119.7919053859</v>
      </c>
      <c r="E31" s="880">
        <v>2313992.3163919151</v>
      </c>
      <c r="F31" s="884">
        <v>95.971686025740098</v>
      </c>
      <c r="G31" s="881">
        <v>2117404.1991560576</v>
      </c>
      <c r="H31" s="769">
        <v>87.818291163492134</v>
      </c>
      <c r="I31" s="753">
        <v>97127.475513470825</v>
      </c>
      <c r="J31" s="752">
        <v>4.0283139742598975</v>
      </c>
      <c r="K31" s="771">
        <v>293715.59274932835</v>
      </c>
      <c r="L31" s="769">
        <v>12.181708836507861</v>
      </c>
    </row>
    <row r="32" spans="2:12" ht="15" customHeight="1" thickBot="1">
      <c r="B32" s="828" t="s">
        <v>30</v>
      </c>
      <c r="C32" s="876">
        <v>2035493.9077135532</v>
      </c>
      <c r="D32" s="876">
        <v>2006172.9740558802</v>
      </c>
      <c r="E32" s="882">
        <v>1614204.8179748291</v>
      </c>
      <c r="F32" s="885">
        <v>80.461896299569375</v>
      </c>
      <c r="G32" s="878">
        <v>1898435.2623926098</v>
      </c>
      <c r="H32" s="768">
        <v>94.62968980957524</v>
      </c>
      <c r="I32" s="750">
        <v>391968.1560810511</v>
      </c>
      <c r="J32" s="749">
        <v>19.538103700430629</v>
      </c>
      <c r="K32" s="770">
        <v>107737.71166327037</v>
      </c>
      <c r="L32" s="768">
        <v>5.3703101904247577</v>
      </c>
    </row>
    <row r="33" spans="2:12" ht="15" customHeight="1" thickBot="1">
      <c r="B33" s="829" t="s">
        <v>31</v>
      </c>
      <c r="C33" s="879">
        <v>3186960.0211086394</v>
      </c>
      <c r="D33" s="879">
        <v>3086058.3980430933</v>
      </c>
      <c r="E33" s="880">
        <v>2979605.4934139536</v>
      </c>
      <c r="F33" s="884">
        <v>96.550522028467029</v>
      </c>
      <c r="G33" s="881">
        <v>2609230.819710332</v>
      </c>
      <c r="H33" s="769">
        <v>84.548977471225967</v>
      </c>
      <c r="I33" s="753">
        <v>106452.9046291397</v>
      </c>
      <c r="J33" s="752">
        <v>3.4494779715329682</v>
      </c>
      <c r="K33" s="771">
        <v>476827.5783327613</v>
      </c>
      <c r="L33" s="769">
        <v>15.451022528774031</v>
      </c>
    </row>
    <row r="34" spans="2:12" ht="15" customHeight="1" thickBot="1">
      <c r="B34" s="828" t="s">
        <v>32</v>
      </c>
      <c r="C34" s="876">
        <v>1131664.2756647379</v>
      </c>
      <c r="D34" s="876">
        <v>1116854.636442353</v>
      </c>
      <c r="E34" s="882">
        <v>1064782.5100505305</v>
      </c>
      <c r="F34" s="885">
        <v>95.337609327773052</v>
      </c>
      <c r="G34" s="878">
        <v>1020585.0205787553</v>
      </c>
      <c r="H34" s="768">
        <v>91.380291335830734</v>
      </c>
      <c r="I34" s="750">
        <v>52072.126391822472</v>
      </c>
      <c r="J34" s="749">
        <v>4.662390672226949</v>
      </c>
      <c r="K34" s="770">
        <v>96269.615863597719</v>
      </c>
      <c r="L34" s="768">
        <v>8.6197086641692717</v>
      </c>
    </row>
    <row r="35" spans="2:12" ht="15" customHeight="1" thickBot="1">
      <c r="B35" s="829" t="s">
        <v>262</v>
      </c>
      <c r="C35" s="879">
        <v>7188605.9525439497</v>
      </c>
      <c r="D35" s="879">
        <v>7095735.567300613</v>
      </c>
      <c r="E35" s="880">
        <v>5593557.714486667</v>
      </c>
      <c r="F35" s="884">
        <v>78.829850146382924</v>
      </c>
      <c r="G35" s="881">
        <v>5700298.0019053295</v>
      </c>
      <c r="H35" s="769">
        <v>80.334137988091044</v>
      </c>
      <c r="I35" s="753">
        <v>1502177.8528139461</v>
      </c>
      <c r="J35" s="752">
        <v>21.170149853617083</v>
      </c>
      <c r="K35" s="771">
        <v>1395437.5653952835</v>
      </c>
      <c r="L35" s="769">
        <v>19.665862011908953</v>
      </c>
    </row>
    <row r="36" spans="2:12" ht="15" customHeight="1" thickBot="1">
      <c r="B36" s="828" t="s">
        <v>34</v>
      </c>
      <c r="C36" s="876">
        <v>1918426.3716930246</v>
      </c>
      <c r="D36" s="876">
        <v>1875495.0374536875</v>
      </c>
      <c r="E36" s="882">
        <v>1810604.9487278061</v>
      </c>
      <c r="F36" s="885">
        <v>96.540108748355792</v>
      </c>
      <c r="G36" s="878">
        <v>1267897.7988850174</v>
      </c>
      <c r="H36" s="768">
        <v>67.6033673011692</v>
      </c>
      <c r="I36" s="750">
        <v>64890.088725881418</v>
      </c>
      <c r="J36" s="749">
        <v>3.4598912516442093</v>
      </c>
      <c r="K36" s="770">
        <v>607597.23856867012</v>
      </c>
      <c r="L36" s="768">
        <v>32.396632698830793</v>
      </c>
    </row>
    <row r="37" spans="2:12" ht="15" customHeight="1" thickBot="1">
      <c r="B37" s="829" t="s">
        <v>35</v>
      </c>
      <c r="C37" s="879">
        <v>1362729.3776725354</v>
      </c>
      <c r="D37" s="879">
        <v>1347807.0149273111</v>
      </c>
      <c r="E37" s="880">
        <v>1296363.4331037095</v>
      </c>
      <c r="F37" s="884">
        <v>96.18316411371579</v>
      </c>
      <c r="G37" s="881">
        <v>1201349.5770071053</v>
      </c>
      <c r="H37" s="769">
        <v>89.133649231814957</v>
      </c>
      <c r="I37" s="753">
        <v>51443.58182360162</v>
      </c>
      <c r="J37" s="752">
        <v>3.8168358862842124</v>
      </c>
      <c r="K37" s="771">
        <v>146457.43792020576</v>
      </c>
      <c r="L37" s="769">
        <v>10.866350768185043</v>
      </c>
    </row>
    <row r="38" spans="2:12" ht="18" customHeight="1" thickBot="1">
      <c r="B38" s="846" t="s">
        <v>101</v>
      </c>
      <c r="C38" s="886">
        <v>106992488.31413014</v>
      </c>
      <c r="D38" s="886">
        <v>103583353.90901633</v>
      </c>
      <c r="E38" s="886">
        <v>93898324.626536682</v>
      </c>
      <c r="F38" s="848">
        <v>90.650013813043159</v>
      </c>
      <c r="G38" s="851">
        <v>89906313.676154718</v>
      </c>
      <c r="H38" s="850">
        <v>86.796102156650576</v>
      </c>
      <c r="I38" s="847">
        <v>9685029.2824796494</v>
      </c>
      <c r="J38" s="848">
        <v>9.3499861869568441</v>
      </c>
      <c r="K38" s="849">
        <v>13677040.232861578</v>
      </c>
      <c r="L38" s="850">
        <v>13.203897843349397</v>
      </c>
    </row>
    <row r="39" spans="2:12" ht="12.75" customHeight="1">
      <c r="B39" s="466" t="s">
        <v>277</v>
      </c>
      <c r="C39" s="466"/>
      <c r="D39" s="466"/>
      <c r="E39" s="466"/>
      <c r="F39" s="466"/>
      <c r="G39" s="466"/>
      <c r="H39" s="712"/>
      <c r="I39" s="712"/>
      <c r="J39" s="712"/>
      <c r="K39" s="712"/>
      <c r="L39" s="712"/>
    </row>
    <row r="40" spans="2:12" ht="12.75" customHeight="1">
      <c r="B40" s="747" t="s">
        <v>526</v>
      </c>
      <c r="C40" s="466"/>
      <c r="D40" s="466"/>
      <c r="E40" s="466"/>
      <c r="F40" s="466"/>
      <c r="G40" s="466"/>
      <c r="H40" s="713">
        <v>98.892018266868149</v>
      </c>
      <c r="I40" s="714"/>
      <c r="J40" s="715"/>
      <c r="K40" s="714"/>
      <c r="L40" s="716"/>
    </row>
    <row r="41" spans="2:12">
      <c r="F41" s="318"/>
      <c r="H41" s="318"/>
    </row>
    <row r="43" spans="2:12">
      <c r="B43" s="717"/>
    </row>
  </sheetData>
  <sheetProtection password="CF4C" sheet="1" objects="1" scenarios="1"/>
  <mergeCells count="10">
    <mergeCell ref="B2:L2"/>
    <mergeCell ref="B3:B5"/>
    <mergeCell ref="C3:C5"/>
    <mergeCell ref="D3:D5"/>
    <mergeCell ref="E3:H3"/>
    <mergeCell ref="I3:L3"/>
    <mergeCell ref="E4:F4"/>
    <mergeCell ref="G4:H4"/>
    <mergeCell ref="I4:J4"/>
    <mergeCell ref="K4:L4"/>
  </mergeCells>
  <printOptions horizontalCentered="1"/>
  <pageMargins left="0.19685039370078741" right="0.19685039370078741" top="0.39370078740157483" bottom="0.19685039370078741" header="0.39370078740157483" footer="0.39370078740157483"/>
  <pageSetup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1" enableFormatConditionsCalculation="0">
    <tabColor theme="4" tint="-0.249977111117893"/>
    <pageSetUpPr fitToPage="1"/>
  </sheetPr>
  <dimension ref="A1:L49"/>
  <sheetViews>
    <sheetView showGridLines="0" workbookViewId="0">
      <selection activeCell="K10" sqref="K10:K16"/>
    </sheetView>
  </sheetViews>
  <sheetFormatPr baseColWidth="10" defaultRowHeight="12.75"/>
  <cols>
    <col min="1" max="1" width="1.7109375" style="5" customWidth="1"/>
    <col min="2" max="3" width="16.7109375" style="5" customWidth="1"/>
    <col min="4" max="6" width="14" style="5" bestFit="1" customWidth="1"/>
    <col min="7" max="7" width="13.7109375" style="5" customWidth="1"/>
    <col min="8" max="8" width="1.7109375" style="5" customWidth="1"/>
    <col min="9" max="9" width="10" style="5" customWidth="1"/>
    <col min="10" max="12" width="7.42578125" style="5" customWidth="1"/>
    <col min="13" max="16384" width="11.42578125" style="5"/>
  </cols>
  <sheetData>
    <row r="1" spans="1:12" s="43" customFormat="1" ht="12" customHeight="1">
      <c r="A1" s="258"/>
      <c r="B1" s="259"/>
      <c r="C1" s="260"/>
      <c r="D1" s="260"/>
      <c r="E1" s="260"/>
      <c r="F1" s="260"/>
      <c r="G1" s="260"/>
      <c r="H1" s="258"/>
    </row>
    <row r="2" spans="1:12" ht="19.5" customHeight="1" thickBot="1">
      <c r="A2" s="264"/>
      <c r="B2" s="1165" t="s">
        <v>568</v>
      </c>
      <c r="C2" s="1165"/>
      <c r="D2" s="1165"/>
      <c r="E2" s="1165"/>
      <c r="F2" s="1165"/>
      <c r="G2" s="1165"/>
      <c r="H2" s="264"/>
    </row>
    <row r="3" spans="1:12" ht="18" customHeight="1" thickBot="1">
      <c r="A3" s="264"/>
      <c r="B3" s="1172" t="s">
        <v>256</v>
      </c>
      <c r="C3" s="1172" t="s">
        <v>301</v>
      </c>
      <c r="D3" s="1166" t="s">
        <v>302</v>
      </c>
      <c r="E3" s="1167"/>
      <c r="F3" s="1168"/>
      <c r="G3" s="1170" t="s">
        <v>304</v>
      </c>
      <c r="H3" s="264"/>
    </row>
    <row r="4" spans="1:12" ht="30.75" customHeight="1" thickBot="1">
      <c r="A4" s="264"/>
      <c r="B4" s="1172"/>
      <c r="C4" s="1172"/>
      <c r="D4" s="764" t="s">
        <v>103</v>
      </c>
      <c r="E4" s="764" t="s">
        <v>104</v>
      </c>
      <c r="F4" s="764" t="s">
        <v>303</v>
      </c>
      <c r="G4" s="1171"/>
      <c r="H4" s="264"/>
    </row>
    <row r="5" spans="1:12" ht="15" customHeight="1" thickBot="1">
      <c r="A5" s="264"/>
      <c r="B5" s="428">
        <v>1990</v>
      </c>
      <c r="C5" s="490">
        <v>80.433824000000001</v>
      </c>
      <c r="D5" s="490">
        <v>63.055542000000003</v>
      </c>
      <c r="E5" s="490">
        <v>17.378281999999999</v>
      </c>
      <c r="F5" s="490"/>
      <c r="G5" s="490">
        <v>78.394310831224431</v>
      </c>
      <c r="H5" s="264"/>
      <c r="I5" s="257"/>
    </row>
    <row r="6" spans="1:12" ht="15" customHeight="1" thickBot="1">
      <c r="A6" s="264"/>
      <c r="B6" s="429">
        <v>1995</v>
      </c>
      <c r="C6" s="491">
        <v>90.728652000000011</v>
      </c>
      <c r="D6" s="491">
        <v>76.738928000000001</v>
      </c>
      <c r="E6" s="491">
        <v>13.98972400000001</v>
      </c>
      <c r="F6" s="491">
        <v>13.683385999999999</v>
      </c>
      <c r="G6" s="491">
        <v>84.580698939514704</v>
      </c>
      <c r="H6" s="264"/>
      <c r="I6" s="257"/>
    </row>
    <row r="7" spans="1:12" ht="15" customHeight="1" thickBot="1">
      <c r="A7" s="264"/>
      <c r="B7" s="428">
        <v>2000</v>
      </c>
      <c r="C7" s="490">
        <v>95.373479000000003</v>
      </c>
      <c r="D7" s="490">
        <v>83.768801999999994</v>
      </c>
      <c r="E7" s="490">
        <v>11.604677000000009</v>
      </c>
      <c r="F7" s="490">
        <v>7.1298739999999921</v>
      </c>
      <c r="G7" s="490">
        <v>87.9</v>
      </c>
      <c r="H7" s="264"/>
      <c r="I7" s="36"/>
    </row>
    <row r="8" spans="1:12" ht="15" customHeight="1" thickBot="1">
      <c r="A8" s="264"/>
      <c r="B8" s="429">
        <v>2005</v>
      </c>
      <c r="C8" s="491">
        <v>100.02846099999999</v>
      </c>
      <c r="D8" s="491">
        <v>89.223750999999993</v>
      </c>
      <c r="E8" s="491">
        <v>10.80471</v>
      </c>
      <c r="F8" s="491">
        <v>5.3549489999999995</v>
      </c>
      <c r="G8" s="491">
        <v>89.198364253549798</v>
      </c>
      <c r="H8" s="264"/>
      <c r="I8" s="36"/>
    </row>
    <row r="9" spans="1:12" ht="15" customHeight="1" thickBot="1">
      <c r="A9" s="264"/>
      <c r="B9" s="428" t="s">
        <v>134</v>
      </c>
      <c r="C9" s="490">
        <v>100.24665217551478</v>
      </c>
      <c r="D9" s="490">
        <v>89.799999999999983</v>
      </c>
      <c r="E9" s="490">
        <v>10.456652175514799</v>
      </c>
      <c r="F9" s="490">
        <v>0.47624899999999004</v>
      </c>
      <c r="G9" s="490">
        <v>89.5</v>
      </c>
      <c r="H9" s="264"/>
      <c r="I9" s="36"/>
    </row>
    <row r="10" spans="1:12" ht="15" customHeight="1" thickBot="1">
      <c r="A10" s="264"/>
      <c r="B10" s="429" t="s">
        <v>208</v>
      </c>
      <c r="C10" s="491">
        <v>101.13719743400502</v>
      </c>
      <c r="D10" s="491">
        <v>90.712953922982464</v>
      </c>
      <c r="E10" s="491">
        <v>10.424243511022553</v>
      </c>
      <c r="F10" s="491">
        <v>1.0129539229824815</v>
      </c>
      <c r="G10" s="491">
        <v>89.592967794737731</v>
      </c>
      <c r="H10" s="264"/>
      <c r="I10" s="36"/>
    </row>
    <row r="11" spans="1:12" ht="15" customHeight="1" thickBot="1">
      <c r="A11" s="264"/>
      <c r="B11" s="428" t="s">
        <v>227</v>
      </c>
      <c r="C11" s="490">
        <v>101.94132604531087</v>
      </c>
      <c r="D11" s="490">
        <v>91.625489764382991</v>
      </c>
      <c r="E11" s="490">
        <v>10.315836280927899</v>
      </c>
      <c r="F11" s="490">
        <v>0.91253584140052624</v>
      </c>
      <c r="G11" s="490">
        <v>89.880613995208677</v>
      </c>
      <c r="H11" s="264"/>
      <c r="I11" s="36"/>
    </row>
    <row r="12" spans="1:12" ht="15" customHeight="1" thickBot="1">
      <c r="A12" s="373"/>
      <c r="B12" s="429" t="s">
        <v>259</v>
      </c>
      <c r="C12" s="491">
        <v>102.77371428370766</v>
      </c>
      <c r="D12" s="491">
        <v>92.804663998188005</v>
      </c>
      <c r="E12" s="491">
        <v>10</v>
      </c>
      <c r="F12" s="491">
        <v>1.1000000000000001</v>
      </c>
      <c r="G12" s="491">
        <v>90.3</v>
      </c>
      <c r="H12" s="373"/>
      <c r="I12" s="36"/>
    </row>
    <row r="13" spans="1:12" ht="15" customHeight="1" thickBot="1">
      <c r="A13" s="264"/>
      <c r="B13" s="772" t="s">
        <v>265</v>
      </c>
      <c r="C13" s="832">
        <v>103.58335390901632</v>
      </c>
      <c r="D13" s="832">
        <v>93.898324626536677</v>
      </c>
      <c r="E13" s="832">
        <v>9.6850292824796469</v>
      </c>
      <c r="F13" s="832">
        <v>1.0936606283486725</v>
      </c>
      <c r="G13" s="832">
        <v>90.650013813043159</v>
      </c>
      <c r="H13" s="264"/>
      <c r="I13" s="36"/>
      <c r="J13" s="67"/>
      <c r="K13" s="67"/>
      <c r="L13" s="16"/>
    </row>
    <row r="14" spans="1:12" customFormat="1" ht="12" customHeight="1">
      <c r="A14" s="263"/>
      <c r="B14" s="1169" t="s">
        <v>122</v>
      </c>
      <c r="C14" s="1169"/>
      <c r="D14" s="1169"/>
      <c r="E14" s="1169"/>
      <c r="F14" s="1169"/>
      <c r="G14" s="1169"/>
      <c r="H14" s="273"/>
      <c r="I14" s="17"/>
    </row>
    <row r="15" spans="1:12" customFormat="1" ht="12" customHeight="1">
      <c r="A15" s="263"/>
      <c r="B15" s="1169" t="s">
        <v>209</v>
      </c>
      <c r="C15" s="1169"/>
      <c r="D15" s="1169"/>
      <c r="E15" s="1169"/>
      <c r="F15" s="1169"/>
      <c r="G15" s="1169"/>
      <c r="H15" s="273"/>
      <c r="I15" s="17"/>
    </row>
    <row r="16" spans="1:12" customFormat="1" ht="12" customHeight="1">
      <c r="A16" s="263"/>
      <c r="B16" s="466" t="s">
        <v>299</v>
      </c>
      <c r="C16" s="466"/>
      <c r="D16" s="466"/>
      <c r="E16" s="466"/>
      <c r="F16" s="466"/>
      <c r="G16" s="466"/>
      <c r="H16" s="263"/>
      <c r="K16" s="5"/>
    </row>
    <row r="17" spans="1:9" customFormat="1" ht="6" customHeight="1">
      <c r="A17" s="263"/>
      <c r="B17" s="264"/>
      <c r="C17" s="289"/>
      <c r="D17" s="289"/>
      <c r="E17" s="290"/>
      <c r="F17" s="289"/>
      <c r="G17" s="289"/>
      <c r="H17" s="263"/>
    </row>
    <row r="18" spans="1:9">
      <c r="C18" s="81"/>
      <c r="D18" s="193"/>
      <c r="E18" s="192"/>
      <c r="F18" s="81"/>
      <c r="G18" s="81"/>
      <c r="I18" s="51"/>
    </row>
    <row r="19" spans="1:9">
      <c r="C19" s="51"/>
      <c r="D19" s="51"/>
      <c r="E19" s="51"/>
      <c r="F19" s="51"/>
      <c r="I19" s="51"/>
    </row>
    <row r="20" spans="1:9">
      <c r="B20" s="84"/>
      <c r="C20" s="90"/>
      <c r="D20" s="90"/>
      <c r="E20" s="90"/>
      <c r="F20" s="90"/>
      <c r="G20" s="83"/>
      <c r="H20" s="84"/>
      <c r="I20" s="83"/>
    </row>
    <row r="21" spans="1:9">
      <c r="B21" s="84"/>
      <c r="C21" s="90"/>
      <c r="D21" s="90"/>
      <c r="E21" s="90"/>
      <c r="F21" s="90"/>
      <c r="G21" s="83"/>
    </row>
    <row r="22" spans="1:9">
      <c r="B22" s="84"/>
      <c r="C22" s="90"/>
      <c r="D22" s="90"/>
      <c r="E22" s="90"/>
      <c r="F22" s="90"/>
      <c r="G22" s="83"/>
    </row>
    <row r="23" spans="1:9">
      <c r="B23" s="84"/>
      <c r="C23" s="90"/>
      <c r="D23" s="90"/>
      <c r="E23" s="90"/>
      <c r="F23" s="90"/>
      <c r="G23" s="83"/>
    </row>
    <row r="24" spans="1:9">
      <c r="B24" s="238"/>
      <c r="C24" s="90"/>
      <c r="D24" s="90"/>
      <c r="E24" s="90"/>
      <c r="F24" s="90"/>
      <c r="G24" s="83"/>
    </row>
    <row r="25" spans="1:9">
      <c r="B25" s="84"/>
      <c r="C25" s="89"/>
      <c r="D25" s="89"/>
      <c r="E25" s="89"/>
      <c r="F25" s="89"/>
      <c r="G25" s="89"/>
    </row>
    <row r="26" spans="1:9">
      <c r="C26" s="88"/>
      <c r="D26" s="88"/>
      <c r="E26" s="88"/>
      <c r="F26" s="88"/>
      <c r="G26" s="88"/>
    </row>
    <row r="27" spans="1:9">
      <c r="C27" s="88"/>
      <c r="D27" s="88"/>
      <c r="E27" s="88"/>
      <c r="F27" s="88"/>
      <c r="G27" s="88"/>
    </row>
    <row r="31" spans="1:9">
      <c r="B31" s="234"/>
    </row>
    <row r="34" spans="2:2">
      <c r="B34" s="234"/>
    </row>
    <row r="42" spans="2:2">
      <c r="B42" s="234"/>
    </row>
    <row r="49" spans="2:2">
      <c r="B49" s="243"/>
    </row>
  </sheetData>
  <sheetProtection password="CF4C" sheet="1" objects="1" scenarios="1"/>
  <customSheetViews>
    <customSheetView guid="{E9B43C8C-734F-433D-AD37-344F9303B5CC}" showPageBreaks="1" showGridLines="0" showRuler="0">
      <selection activeCell="D13" sqref="D13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1"/>
      <headerFooter alignWithMargins="0"/>
    </customSheetView>
    <customSheetView guid="{9BF398E0-33D8-4E64-94A2-9B7C822C8383}" showPageBreaks="1" showGridLines="0" printArea="1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2"/>
      <headerFooter alignWithMargins="0"/>
    </customSheetView>
    <customSheetView guid="{6DCFE324-2DF9-4BB0-88BD-A4AD316C7A9E}" showGridLines="0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3"/>
      <headerFooter alignWithMargins="0"/>
    </customSheetView>
    <customSheetView guid="{48A744A8-8180-4A3B-8108-49EF41816969}" showGridLines="0" showRuler="0">
      <selection activeCell="B13" sqref="B13:G15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4"/>
      <headerFooter alignWithMargins="0"/>
    </customSheetView>
    <customSheetView guid="{9E220BD5-A526-40BD-8239-3A0461590922}" showGridLines="0" showRuler="0">
      <selection activeCell="D29" sqref="D29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5"/>
      <headerFooter alignWithMargins="0"/>
    </customSheetView>
  </customSheetViews>
  <mergeCells count="7">
    <mergeCell ref="B2:G2"/>
    <mergeCell ref="D3:F3"/>
    <mergeCell ref="B15:G15"/>
    <mergeCell ref="B14:G14"/>
    <mergeCell ref="G3:G4"/>
    <mergeCell ref="C3:C4"/>
    <mergeCell ref="B3:B4"/>
  </mergeCells>
  <phoneticPr fontId="9" type="noConversion"/>
  <printOptions horizontalCentered="1"/>
  <pageMargins left="0.19685039370078741" right="0.19685039370078741" top="0.59055118110236227" bottom="0.59055118110236227" header="0.39370078740157483" footer="0.39370078740157483"/>
  <pageSetup orientation="portrait" r:id="rId6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N47"/>
  <sheetViews>
    <sheetView showGridLines="0" zoomScale="90" zoomScaleSheetLayoutView="100" workbookViewId="0">
      <selection activeCell="S3" sqref="S3"/>
    </sheetView>
  </sheetViews>
  <sheetFormatPr baseColWidth="10" defaultRowHeight="12.75"/>
  <cols>
    <col min="1" max="1" width="1.28515625" style="92" customWidth="1"/>
    <col min="2" max="2" width="8.7109375" style="92" customWidth="1"/>
    <col min="3" max="9" width="12.7109375" style="92" customWidth="1"/>
    <col min="10" max="10" width="12.85546875" style="92" customWidth="1"/>
    <col min="11" max="11" width="4.42578125" style="92" customWidth="1"/>
    <col min="12" max="16384" width="11.42578125" style="92"/>
  </cols>
  <sheetData>
    <row r="1" spans="3:14" ht="25.5" customHeight="1">
      <c r="C1" s="1173" t="s">
        <v>298</v>
      </c>
      <c r="D1" s="1173"/>
      <c r="E1" s="1173"/>
      <c r="F1" s="1173"/>
      <c r="G1" s="1173"/>
      <c r="H1" s="1173"/>
      <c r="I1" s="1173"/>
      <c r="J1" s="1173"/>
      <c r="K1" s="1173"/>
      <c r="L1" s="1174"/>
      <c r="M1" s="1174"/>
      <c r="N1" s="1174"/>
    </row>
    <row r="22" spans="2:7">
      <c r="B22" s="241"/>
    </row>
    <row r="29" spans="2:7">
      <c r="B29" s="241"/>
    </row>
    <row r="31" spans="2:7" ht="6" customHeight="1"/>
    <row r="32" spans="2:7" ht="4.5" customHeight="1">
      <c r="B32" s="230"/>
      <c r="D32" s="180"/>
      <c r="E32" s="180"/>
      <c r="F32" s="180"/>
      <c r="G32" s="180"/>
    </row>
    <row r="33" spans="1:13" ht="12.75" customHeight="1">
      <c r="A33" s="95"/>
      <c r="B33" s="249"/>
      <c r="C33" s="182"/>
      <c r="D33" s="181"/>
      <c r="E33" s="181"/>
      <c r="F33" s="181"/>
      <c r="G33" s="181"/>
    </row>
    <row r="34" spans="1:13" ht="15" customHeight="1">
      <c r="B34" s="248"/>
    </row>
    <row r="36" spans="1:13">
      <c r="C36" s="1175" t="s">
        <v>210</v>
      </c>
      <c r="D36" s="1175"/>
      <c r="E36" s="1175"/>
      <c r="F36" s="1175"/>
      <c r="G36" s="1175"/>
      <c r="H36" s="1175"/>
      <c r="I36" s="1175"/>
      <c r="J36" s="1175"/>
      <c r="K36" s="1175"/>
      <c r="L36" s="1175"/>
      <c r="M36" s="1175"/>
    </row>
    <row r="37" spans="1:13">
      <c r="C37" s="1176" t="s">
        <v>299</v>
      </c>
      <c r="D37" s="1176"/>
      <c r="E37" s="1176"/>
      <c r="F37" s="1176"/>
      <c r="G37" s="1176"/>
      <c r="H37" s="1176"/>
      <c r="I37" s="1176"/>
      <c r="J37" s="1176"/>
      <c r="K37" s="1176"/>
      <c r="L37" s="1176"/>
      <c r="M37" s="1176"/>
    </row>
    <row r="40" spans="1:13">
      <c r="B40" s="236"/>
    </row>
    <row r="47" spans="1:13" ht="11.25" customHeight="1">
      <c r="B47" s="1177"/>
      <c r="C47" s="1177"/>
      <c r="D47" s="1177"/>
      <c r="E47" s="1177"/>
      <c r="F47" s="1177"/>
      <c r="G47" s="1177"/>
      <c r="H47" s="1177"/>
      <c r="I47" s="1177"/>
      <c r="J47" s="1177"/>
      <c r="K47" s="1177"/>
    </row>
  </sheetData>
  <sheetProtection password="CF4C" sheet="1" objects="1" scenarios="1"/>
  <mergeCells count="4">
    <mergeCell ref="C1:N1"/>
    <mergeCell ref="C36:M36"/>
    <mergeCell ref="C37:M37"/>
    <mergeCell ref="B47:K47"/>
  </mergeCells>
  <printOptions horizontalCentered="1"/>
  <pageMargins left="0.78740157480314965" right="0.78740157480314965" top="0.98425196850393704" bottom="0.98425196850393704" header="0" footer="0"/>
  <pageSetup paperSize="129" scale="66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AC155"/>
  <sheetViews>
    <sheetView showGridLines="0" tabSelected="1" zoomScale="50" zoomScaleNormal="50" zoomScaleSheetLayoutView="95" workbookViewId="0">
      <selection activeCell="R13" sqref="R13"/>
    </sheetView>
  </sheetViews>
  <sheetFormatPr baseColWidth="10" defaultRowHeight="12.75"/>
  <cols>
    <col min="1" max="1" width="9.28515625" style="720" customWidth="1"/>
    <col min="2" max="5" width="14.7109375" style="720" customWidth="1"/>
    <col min="6" max="6" width="35.85546875" style="720" customWidth="1"/>
    <col min="7" max="7" width="42.7109375" style="720" customWidth="1"/>
    <col min="8" max="8" width="6.5703125" style="720" customWidth="1"/>
    <col min="9" max="9" width="17" style="720" customWidth="1"/>
    <col min="10" max="10" width="11.140625" style="720" customWidth="1"/>
    <col min="11" max="11" width="3.28515625" style="722" customWidth="1"/>
    <col min="12" max="12" width="6.140625" style="722" customWidth="1"/>
    <col min="13" max="13" width="6.7109375" style="722" customWidth="1"/>
    <col min="14" max="14" width="6.7109375" style="997" customWidth="1"/>
    <col min="15" max="15" width="6.7109375" style="722" customWidth="1"/>
    <col min="16" max="16384" width="11.42578125" style="720"/>
  </cols>
  <sheetData>
    <row r="1" spans="1:15" ht="13.5" thickBot="1"/>
    <row r="2" spans="1:15" ht="31.5" thickBot="1">
      <c r="A2" s="1179" t="s">
        <v>549</v>
      </c>
      <c r="B2" s="1180"/>
      <c r="C2" s="1180"/>
      <c r="D2" s="1180"/>
      <c r="E2" s="1180"/>
      <c r="F2" s="1180"/>
      <c r="G2" s="1181"/>
      <c r="H2" s="1181"/>
      <c r="I2" s="1181"/>
      <c r="J2" s="1181"/>
      <c r="K2" s="718"/>
      <c r="L2" s="718"/>
      <c r="M2" s="719"/>
      <c r="N2" s="1462"/>
      <c r="O2" s="719"/>
    </row>
    <row r="3" spans="1:15" ht="30.75" customHeight="1" thickBot="1">
      <c r="A3" s="721"/>
      <c r="B3" s="721"/>
      <c r="C3" s="721"/>
      <c r="D3" s="721"/>
      <c r="E3" s="721"/>
      <c r="F3" s="721"/>
      <c r="G3" s="721"/>
      <c r="H3" s="721"/>
      <c r="I3" s="837" t="s">
        <v>535</v>
      </c>
      <c r="J3" s="838" t="s">
        <v>543</v>
      </c>
      <c r="K3" s="718"/>
      <c r="L3" s="718"/>
      <c r="M3" s="719"/>
      <c r="N3" s="998"/>
      <c r="O3" s="719"/>
    </row>
    <row r="4" spans="1:15" ht="18" customHeight="1" thickBot="1">
      <c r="I4" s="748" t="s">
        <v>14</v>
      </c>
      <c r="J4" s="888">
        <v>0.98400758390119936</v>
      </c>
      <c r="K4" s="719"/>
      <c r="L4" s="719"/>
      <c r="M4" s="719"/>
      <c r="N4" s="994">
        <v>0.90650013813043162</v>
      </c>
      <c r="O4" s="720"/>
    </row>
    <row r="5" spans="1:15" ht="18" customHeight="1" thickBot="1">
      <c r="I5" s="751" t="s">
        <v>223</v>
      </c>
      <c r="J5" s="889">
        <v>0.97353242876731938</v>
      </c>
      <c r="K5" s="719"/>
      <c r="L5" s="719"/>
      <c r="M5" s="719"/>
      <c r="N5" s="994">
        <v>0.90650013813043162</v>
      </c>
      <c r="O5" s="720"/>
    </row>
    <row r="6" spans="1:15" ht="18" customHeight="1" thickBot="1">
      <c r="I6" s="748" t="s">
        <v>6</v>
      </c>
      <c r="J6" s="888">
        <v>0.97217871538201894</v>
      </c>
      <c r="K6" s="719"/>
      <c r="L6" s="719"/>
      <c r="M6" s="719"/>
      <c r="N6" s="994">
        <v>0.90650013813043162</v>
      </c>
      <c r="O6" s="720"/>
    </row>
    <row r="7" spans="1:15" ht="18" customHeight="1" thickBot="1">
      <c r="I7" s="751" t="s">
        <v>23</v>
      </c>
      <c r="J7" s="889">
        <v>0.97129866885150273</v>
      </c>
      <c r="K7" s="719"/>
      <c r="L7" s="719"/>
      <c r="M7" s="719"/>
      <c r="N7" s="994">
        <v>0.90650013813043162</v>
      </c>
      <c r="O7" s="720"/>
    </row>
    <row r="8" spans="1:15" ht="18" customHeight="1" thickBot="1">
      <c r="I8" s="748" t="s">
        <v>11</v>
      </c>
      <c r="J8" s="888">
        <v>0.96600232851527634</v>
      </c>
      <c r="K8" s="719"/>
      <c r="L8" s="719"/>
      <c r="M8" s="719"/>
      <c r="N8" s="994">
        <v>0.90650013813043162</v>
      </c>
      <c r="O8" s="720"/>
    </row>
    <row r="9" spans="1:15" ht="18" customHeight="1" thickBot="1">
      <c r="I9" s="751" t="s">
        <v>31</v>
      </c>
      <c r="J9" s="889">
        <v>0.96550522028467034</v>
      </c>
      <c r="K9" s="719"/>
      <c r="L9" s="719"/>
      <c r="M9" s="719"/>
      <c r="N9" s="994">
        <v>0.90650013813043162</v>
      </c>
      <c r="O9" s="720"/>
    </row>
    <row r="10" spans="1:15" ht="18" customHeight="1" thickBot="1">
      <c r="I10" s="748" t="s">
        <v>34</v>
      </c>
      <c r="J10" s="888">
        <v>0.96540108748355791</v>
      </c>
      <c r="K10" s="719"/>
      <c r="L10" s="719"/>
      <c r="M10" s="719"/>
      <c r="N10" s="994">
        <v>0.90650013813043162</v>
      </c>
      <c r="O10" s="720"/>
    </row>
    <row r="11" spans="1:15" ht="18" customHeight="1" thickBot="1">
      <c r="I11" s="751" t="s">
        <v>35</v>
      </c>
      <c r="J11" s="889">
        <v>0.96183164113715791</v>
      </c>
      <c r="K11" s="719"/>
      <c r="L11" s="719"/>
      <c r="M11" s="719"/>
      <c r="N11" s="994">
        <v>0.90650013813043162</v>
      </c>
      <c r="O11" s="720"/>
    </row>
    <row r="12" spans="1:15" ht="18" customHeight="1" thickBot="1">
      <c r="I12" s="748" t="s">
        <v>37</v>
      </c>
      <c r="J12" s="888">
        <v>0.95971686025740099</v>
      </c>
      <c r="K12" s="724"/>
      <c r="L12" s="724"/>
      <c r="M12" s="724"/>
      <c r="N12" s="994">
        <v>0.90650013813043162</v>
      </c>
      <c r="O12" s="720"/>
    </row>
    <row r="13" spans="1:15" ht="18" customHeight="1" thickBot="1">
      <c r="I13" s="751" t="s">
        <v>29</v>
      </c>
      <c r="J13" s="889">
        <v>0.95664658562508864</v>
      </c>
      <c r="K13" s="724"/>
      <c r="L13" s="724"/>
      <c r="M13" s="724"/>
      <c r="N13" s="994">
        <v>0.90650013813043162</v>
      </c>
      <c r="O13" s="720"/>
    </row>
    <row r="14" spans="1:15" ht="18" customHeight="1" thickBot="1">
      <c r="I14" s="748" t="s">
        <v>15</v>
      </c>
      <c r="J14" s="888">
        <v>0.95598073612151269</v>
      </c>
      <c r="K14" s="724"/>
      <c r="L14" s="724"/>
      <c r="M14" s="724"/>
      <c r="N14" s="994">
        <v>0.90650013813043162</v>
      </c>
      <c r="O14" s="720"/>
    </row>
    <row r="15" spans="1:15" ht="18" customHeight="1" thickBot="1">
      <c r="I15" s="751" t="s">
        <v>32</v>
      </c>
      <c r="J15" s="889">
        <v>0.95337609327773054</v>
      </c>
      <c r="K15" s="724"/>
      <c r="L15" s="724"/>
      <c r="M15" s="724"/>
      <c r="N15" s="994">
        <v>0.90650013813043162</v>
      </c>
      <c r="O15" s="720"/>
    </row>
    <row r="16" spans="1:15" ht="18" customHeight="1" thickBot="1">
      <c r="I16" s="748" t="s">
        <v>13</v>
      </c>
      <c r="J16" s="888">
        <v>0.95094157704923188</v>
      </c>
      <c r="K16" s="724"/>
      <c r="L16" s="724"/>
      <c r="M16" s="724"/>
      <c r="N16" s="994">
        <v>0.90650013813043162</v>
      </c>
      <c r="O16" s="720"/>
    </row>
    <row r="17" spans="2:25" ht="18" customHeight="1" thickBot="1">
      <c r="I17" s="751" t="s">
        <v>24</v>
      </c>
      <c r="J17" s="889">
        <v>0.95018408690004563</v>
      </c>
      <c r="K17" s="724"/>
      <c r="L17" s="724"/>
      <c r="M17" s="724"/>
      <c r="N17" s="994">
        <v>0.90650013813043162</v>
      </c>
      <c r="O17" s="720"/>
    </row>
    <row r="18" spans="2:25" ht="18" customHeight="1" thickBot="1">
      <c r="I18" s="748" t="s">
        <v>16</v>
      </c>
      <c r="J18" s="888">
        <v>0.94808609364040608</v>
      </c>
      <c r="K18" s="724"/>
      <c r="L18" s="724"/>
      <c r="M18" s="724"/>
      <c r="N18" s="994"/>
      <c r="O18" s="720"/>
    </row>
    <row r="19" spans="2:25" ht="18" customHeight="1" thickBot="1">
      <c r="I19" s="751" t="s">
        <v>224</v>
      </c>
      <c r="J19" s="889">
        <v>0.937200765832917</v>
      </c>
      <c r="K19" s="724"/>
      <c r="L19" s="724"/>
      <c r="M19" s="724"/>
      <c r="N19" s="724"/>
      <c r="O19" s="724"/>
      <c r="P19" s="724"/>
      <c r="Q19" s="724"/>
      <c r="R19" s="724"/>
      <c r="S19" s="724"/>
      <c r="T19" s="724"/>
      <c r="U19" s="724"/>
      <c r="V19" s="724"/>
      <c r="W19" s="724"/>
      <c r="X19" s="724"/>
      <c r="Y19" s="724"/>
    </row>
    <row r="20" spans="2:25" ht="18" customHeight="1" thickBot="1">
      <c r="I20" s="748" t="s">
        <v>19</v>
      </c>
      <c r="J20" s="888">
        <v>0.9349881580884104</v>
      </c>
      <c r="K20" s="724"/>
      <c r="L20" s="724"/>
      <c r="M20" s="724"/>
      <c r="N20" s="724"/>
      <c r="O20" s="724"/>
      <c r="P20" s="724"/>
      <c r="Q20" s="724"/>
      <c r="R20" s="724"/>
      <c r="S20" s="724"/>
      <c r="T20" s="724"/>
      <c r="U20" s="724"/>
      <c r="V20" s="724"/>
      <c r="W20" s="724"/>
      <c r="X20" s="724"/>
      <c r="Y20" s="724"/>
    </row>
    <row r="21" spans="2:25" ht="18" customHeight="1" thickBot="1">
      <c r="I21" s="751" t="s">
        <v>18</v>
      </c>
      <c r="J21" s="889">
        <v>0.93102580831780268</v>
      </c>
      <c r="K21" s="724"/>
      <c r="L21" s="724"/>
      <c r="M21" s="724"/>
      <c r="N21" s="724"/>
      <c r="O21" s="724"/>
      <c r="P21" s="724"/>
      <c r="Q21" s="724"/>
      <c r="R21" s="724"/>
      <c r="S21" s="724"/>
      <c r="T21" s="724"/>
      <c r="U21" s="724"/>
      <c r="V21" s="724"/>
      <c r="W21" s="724"/>
      <c r="X21" s="724"/>
      <c r="Y21" s="724"/>
    </row>
    <row r="22" spans="2:25" ht="18" customHeight="1" thickBot="1">
      <c r="I22" s="748" t="s">
        <v>9</v>
      </c>
      <c r="J22" s="888">
        <v>0.92924981525282702</v>
      </c>
      <c r="K22" s="724"/>
      <c r="L22" s="724"/>
      <c r="M22" s="724"/>
      <c r="N22" s="724"/>
      <c r="O22" s="724"/>
      <c r="P22" s="724"/>
      <c r="Q22" s="724"/>
      <c r="R22" s="724"/>
      <c r="S22" s="724"/>
      <c r="T22" s="724"/>
      <c r="U22" s="724"/>
      <c r="V22" s="724"/>
      <c r="W22" s="724"/>
      <c r="X22" s="724"/>
      <c r="Y22" s="724"/>
    </row>
    <row r="23" spans="2:25" ht="18" customHeight="1" thickBot="1">
      <c r="I23" s="751" t="s">
        <v>22</v>
      </c>
      <c r="J23" s="889">
        <v>0.92419428994506747</v>
      </c>
      <c r="K23" s="724"/>
      <c r="L23" s="724"/>
      <c r="M23" s="724"/>
      <c r="N23" s="724"/>
      <c r="O23" s="724"/>
      <c r="P23" s="724"/>
      <c r="Q23" s="724"/>
      <c r="R23" s="724"/>
      <c r="S23" s="724"/>
      <c r="T23" s="724"/>
      <c r="U23" s="724"/>
      <c r="V23" s="724"/>
      <c r="W23" s="724"/>
      <c r="X23" s="724"/>
      <c r="Y23" s="724"/>
    </row>
    <row r="24" spans="2:25" ht="18" customHeight="1" thickBot="1">
      <c r="B24" s="725"/>
      <c r="I24" s="748" t="s">
        <v>225</v>
      </c>
      <c r="J24" s="888">
        <v>0.91195285487776645</v>
      </c>
      <c r="K24" s="724"/>
      <c r="L24" s="724"/>
      <c r="M24" s="724"/>
      <c r="N24" s="724"/>
      <c r="O24" s="724"/>
      <c r="P24" s="724"/>
      <c r="Q24" s="724"/>
      <c r="R24" s="724"/>
      <c r="S24" s="724"/>
      <c r="T24" s="724"/>
      <c r="U24" s="724"/>
      <c r="V24" s="724"/>
      <c r="W24" s="724"/>
      <c r="X24" s="724"/>
      <c r="Y24" s="724"/>
    </row>
    <row r="25" spans="2:25" ht="18" customHeight="1" thickBot="1">
      <c r="I25" s="751" t="s">
        <v>27</v>
      </c>
      <c r="J25" s="889">
        <v>0.90605141458060634</v>
      </c>
      <c r="K25" s="724"/>
      <c r="L25" s="724"/>
      <c r="M25" s="724"/>
      <c r="N25" s="724"/>
      <c r="O25" s="724"/>
      <c r="P25" s="724"/>
      <c r="Q25" s="724"/>
      <c r="R25" s="724"/>
      <c r="S25" s="724"/>
      <c r="T25" s="724"/>
      <c r="U25" s="724"/>
      <c r="V25" s="724"/>
      <c r="W25" s="724"/>
      <c r="X25" s="724"/>
      <c r="Y25" s="724"/>
    </row>
    <row r="26" spans="2:25" ht="18" customHeight="1" thickBot="1">
      <c r="I26" s="748" t="s">
        <v>7</v>
      </c>
      <c r="J26" s="888">
        <v>0.90275053580867048</v>
      </c>
      <c r="K26" s="724"/>
      <c r="L26" s="724"/>
      <c r="M26" s="724"/>
      <c r="N26" s="724"/>
      <c r="O26" s="724"/>
      <c r="P26" s="724"/>
      <c r="Q26" s="724"/>
      <c r="R26" s="724"/>
      <c r="S26" s="724"/>
      <c r="T26" s="724"/>
      <c r="U26" s="724"/>
      <c r="V26" s="724"/>
      <c r="W26" s="724"/>
      <c r="X26" s="724"/>
      <c r="Y26" s="724"/>
    </row>
    <row r="27" spans="2:25" ht="18" customHeight="1" thickBot="1">
      <c r="I27" s="751" t="s">
        <v>20</v>
      </c>
      <c r="J27" s="889">
        <v>0.90103926261445477</v>
      </c>
      <c r="K27" s="724"/>
      <c r="L27" s="724"/>
      <c r="M27" s="724"/>
      <c r="N27" s="724"/>
      <c r="O27" s="724"/>
      <c r="P27" s="724"/>
      <c r="Q27" s="724"/>
      <c r="R27" s="724"/>
      <c r="S27" s="724"/>
      <c r="T27" s="724"/>
      <c r="U27" s="724"/>
      <c r="V27" s="724"/>
      <c r="W27" s="724"/>
      <c r="X27" s="724"/>
      <c r="Y27" s="724"/>
    </row>
    <row r="28" spans="2:25" ht="18" customHeight="1" thickBot="1">
      <c r="I28" s="748" t="s">
        <v>28</v>
      </c>
      <c r="J28" s="888">
        <v>0.87814157332071541</v>
      </c>
      <c r="K28" s="724"/>
      <c r="L28" s="724"/>
      <c r="M28" s="724"/>
      <c r="N28" s="724"/>
      <c r="O28" s="724"/>
      <c r="P28" s="724"/>
      <c r="Q28" s="724"/>
      <c r="R28" s="724"/>
      <c r="S28" s="724"/>
      <c r="T28" s="724"/>
      <c r="U28" s="724"/>
      <c r="V28" s="724"/>
      <c r="W28" s="724"/>
      <c r="X28" s="724"/>
      <c r="Y28" s="724"/>
    </row>
    <row r="29" spans="2:25" ht="18" customHeight="1" thickBot="1">
      <c r="I29" s="751" t="s">
        <v>36</v>
      </c>
      <c r="J29" s="889">
        <v>0.84930956946081448</v>
      </c>
      <c r="K29" s="724"/>
      <c r="L29" s="724"/>
      <c r="M29" s="724"/>
      <c r="N29" s="724"/>
      <c r="O29" s="724"/>
      <c r="P29" s="724"/>
      <c r="Q29" s="724"/>
      <c r="R29" s="724"/>
      <c r="S29" s="724"/>
      <c r="T29" s="724"/>
      <c r="U29" s="724"/>
      <c r="V29" s="724"/>
      <c r="W29" s="724"/>
      <c r="X29" s="724"/>
      <c r="Y29" s="724"/>
    </row>
    <row r="30" spans="2:25" ht="18" customHeight="1" thickBot="1">
      <c r="I30" s="748" t="s">
        <v>8</v>
      </c>
      <c r="J30" s="888">
        <v>0.84471496544236446</v>
      </c>
      <c r="K30" s="724"/>
      <c r="L30" s="724"/>
      <c r="M30" s="724"/>
      <c r="N30" s="724"/>
      <c r="O30" s="724"/>
      <c r="P30" s="724"/>
      <c r="Q30" s="724"/>
      <c r="R30" s="724"/>
      <c r="S30" s="724"/>
      <c r="T30" s="724"/>
      <c r="U30" s="724"/>
      <c r="V30" s="724"/>
      <c r="W30" s="724"/>
      <c r="X30" s="724"/>
      <c r="Y30" s="724"/>
    </row>
    <row r="31" spans="2:25" ht="18" customHeight="1" thickBot="1">
      <c r="B31" s="725"/>
      <c r="I31" s="751" t="s">
        <v>25</v>
      </c>
      <c r="J31" s="889">
        <v>0.81360485367177338</v>
      </c>
      <c r="K31" s="724"/>
      <c r="L31" s="724"/>
      <c r="M31" s="724"/>
      <c r="N31" s="724"/>
      <c r="O31" s="724"/>
      <c r="P31" s="724"/>
      <c r="Q31" s="724"/>
      <c r="R31" s="724"/>
      <c r="S31" s="724"/>
      <c r="T31" s="724"/>
      <c r="U31" s="724"/>
      <c r="V31" s="724"/>
      <c r="W31" s="724"/>
      <c r="X31" s="724"/>
      <c r="Y31" s="724"/>
    </row>
    <row r="32" spans="2:25" ht="18" customHeight="1" thickBot="1">
      <c r="I32" s="748" t="s">
        <v>30</v>
      </c>
      <c r="J32" s="888">
        <v>0.8046189629956938</v>
      </c>
      <c r="K32" s="724"/>
      <c r="L32" s="724"/>
      <c r="M32" s="724"/>
      <c r="N32" s="724"/>
      <c r="O32" s="724"/>
      <c r="P32" s="724"/>
      <c r="Q32" s="724"/>
      <c r="R32" s="724"/>
      <c r="S32" s="724"/>
      <c r="T32" s="724"/>
      <c r="U32" s="724"/>
      <c r="V32" s="724"/>
      <c r="W32" s="724"/>
      <c r="X32" s="724"/>
      <c r="Y32" s="724"/>
    </row>
    <row r="33" spans="1:29" ht="18" customHeight="1" thickBot="1">
      <c r="I33" s="751" t="s">
        <v>12</v>
      </c>
      <c r="J33" s="889">
        <v>0.80406478627728784</v>
      </c>
      <c r="K33" s="724"/>
      <c r="L33" s="724"/>
      <c r="M33" s="724"/>
      <c r="N33" s="724"/>
      <c r="O33" s="724"/>
      <c r="P33" s="724"/>
      <c r="Q33" s="724"/>
      <c r="R33" s="724"/>
      <c r="S33" s="724"/>
      <c r="T33" s="724"/>
      <c r="U33" s="724"/>
      <c r="V33" s="724"/>
      <c r="W33" s="724"/>
      <c r="X33" s="724"/>
      <c r="Y33" s="724"/>
    </row>
    <row r="34" spans="1:29" ht="18" customHeight="1" thickBot="1">
      <c r="B34" s="726"/>
      <c r="I34" s="748" t="s">
        <v>262</v>
      </c>
      <c r="J34" s="888">
        <v>0.78829850146382929</v>
      </c>
      <c r="K34" s="724"/>
      <c r="L34" s="724"/>
      <c r="M34" s="724"/>
      <c r="N34" s="724"/>
      <c r="O34" s="724"/>
      <c r="P34" s="724"/>
      <c r="Q34" s="724"/>
      <c r="R34" s="724"/>
      <c r="S34" s="724"/>
      <c r="T34" s="724"/>
      <c r="U34" s="724"/>
      <c r="V34" s="724"/>
      <c r="W34" s="724"/>
      <c r="X34" s="724"/>
      <c r="Y34" s="724"/>
    </row>
    <row r="35" spans="1:29" ht="18" customHeight="1" thickBot="1">
      <c r="I35" s="751" t="s">
        <v>17</v>
      </c>
      <c r="J35" s="889">
        <v>0.77765821324840989</v>
      </c>
      <c r="K35" s="724"/>
      <c r="L35" s="724"/>
      <c r="M35" s="724"/>
      <c r="N35" s="724"/>
      <c r="O35" s="724"/>
      <c r="P35" s="724"/>
      <c r="Q35" s="724"/>
      <c r="R35" s="724"/>
      <c r="S35" s="724"/>
      <c r="T35" s="724"/>
      <c r="U35" s="724"/>
      <c r="V35" s="724"/>
      <c r="W35" s="724"/>
      <c r="X35" s="724"/>
      <c r="Y35" s="724"/>
    </row>
    <row r="36" spans="1:29" ht="21" customHeight="1" thickBot="1">
      <c r="I36" s="839" t="s">
        <v>101</v>
      </c>
      <c r="J36" s="887">
        <v>0.90650013813043162</v>
      </c>
      <c r="K36" s="724"/>
      <c r="L36" s="724"/>
      <c r="M36" s="724"/>
      <c r="N36" s="724"/>
      <c r="O36" s="724"/>
      <c r="P36" s="724"/>
      <c r="Q36" s="724"/>
      <c r="R36" s="724"/>
      <c r="S36" s="724"/>
      <c r="T36" s="724"/>
      <c r="U36" s="724"/>
      <c r="V36" s="724"/>
      <c r="W36" s="724"/>
      <c r="X36" s="724"/>
      <c r="Y36" s="724"/>
    </row>
    <row r="37" spans="1:29">
      <c r="A37" s="467" t="s">
        <v>541</v>
      </c>
      <c r="K37" s="724"/>
      <c r="L37" s="724"/>
      <c r="M37" s="724"/>
      <c r="N37" s="724"/>
      <c r="O37" s="724"/>
      <c r="P37" s="724"/>
      <c r="Q37" s="724"/>
      <c r="R37" s="724"/>
      <c r="S37" s="724"/>
      <c r="T37" s="724"/>
      <c r="U37" s="724"/>
      <c r="V37" s="724"/>
      <c r="W37" s="724"/>
      <c r="X37" s="724"/>
      <c r="Y37" s="724"/>
    </row>
    <row r="38" spans="1:29">
      <c r="K38" s="724"/>
      <c r="L38" s="724"/>
      <c r="M38" s="724"/>
      <c r="N38" s="724"/>
      <c r="O38" s="724"/>
      <c r="P38" s="724"/>
      <c r="Q38" s="724"/>
      <c r="R38" s="724"/>
      <c r="S38" s="724"/>
      <c r="T38" s="724"/>
      <c r="U38" s="724"/>
      <c r="V38" s="724"/>
      <c r="W38" s="724"/>
      <c r="X38" s="724"/>
      <c r="Y38" s="724"/>
    </row>
    <row r="39" spans="1:29">
      <c r="A39" s="1459"/>
      <c r="B39" s="1459"/>
      <c r="C39" s="1459"/>
      <c r="D39" s="1459"/>
      <c r="E39" s="1459"/>
      <c r="F39" s="1459"/>
      <c r="G39" s="1459"/>
      <c r="H39" s="1459"/>
      <c r="I39" s="1459"/>
      <c r="J39" s="1459"/>
      <c r="K39" s="724"/>
      <c r="L39" s="724"/>
      <c r="M39" s="724"/>
      <c r="N39" s="724"/>
      <c r="O39" s="724"/>
      <c r="P39" s="724"/>
      <c r="Q39" s="724"/>
      <c r="R39" s="724"/>
      <c r="S39" s="724"/>
      <c r="T39" s="724"/>
      <c r="U39" s="724"/>
      <c r="V39" s="724"/>
      <c r="W39" s="724"/>
      <c r="X39" s="724"/>
      <c r="Y39" s="724"/>
      <c r="Z39" s="1459"/>
      <c r="AA39" s="1459"/>
      <c r="AB39" s="1459"/>
      <c r="AC39" s="1459"/>
    </row>
    <row r="40" spans="1:29">
      <c r="A40" s="1459"/>
      <c r="B40" s="1460"/>
      <c r="C40" s="1459"/>
      <c r="D40" s="1459"/>
      <c r="E40" s="1459"/>
      <c r="F40" s="1459"/>
      <c r="G40" s="1459"/>
      <c r="H40" s="1459"/>
      <c r="I40" s="1459"/>
      <c r="J40" s="1459"/>
      <c r="K40" s="724"/>
      <c r="L40" s="724"/>
      <c r="M40" s="724"/>
      <c r="N40" s="724"/>
      <c r="O40" s="724"/>
      <c r="P40" s="724"/>
      <c r="Q40" s="724"/>
      <c r="R40" s="724"/>
      <c r="S40" s="724"/>
      <c r="T40" s="724"/>
      <c r="U40" s="724"/>
      <c r="V40" s="724"/>
      <c r="W40" s="724"/>
      <c r="X40" s="724"/>
      <c r="Y40" s="724"/>
      <c r="Z40" s="1459"/>
      <c r="AA40" s="1459"/>
      <c r="AB40" s="1459"/>
      <c r="AC40" s="1459"/>
    </row>
    <row r="41" spans="1:29">
      <c r="A41" s="1459"/>
      <c r="B41" s="1459"/>
      <c r="C41" s="1459"/>
      <c r="D41" s="1459"/>
      <c r="E41" s="1459"/>
      <c r="F41" s="1459"/>
      <c r="G41" s="1459"/>
      <c r="H41" s="1459"/>
      <c r="I41" s="1459"/>
      <c r="J41" s="1459"/>
      <c r="K41" s="724"/>
      <c r="L41" s="724"/>
      <c r="M41" s="724"/>
      <c r="N41" s="724"/>
      <c r="O41" s="724"/>
      <c r="P41" s="724"/>
      <c r="Q41" s="724"/>
      <c r="R41" s="724"/>
      <c r="S41" s="724"/>
      <c r="T41" s="724"/>
      <c r="U41" s="724"/>
      <c r="V41" s="724"/>
      <c r="W41" s="724"/>
      <c r="X41" s="724"/>
      <c r="Y41" s="724"/>
      <c r="Z41" s="1459"/>
      <c r="AA41" s="1459"/>
      <c r="AB41" s="1459"/>
      <c r="AC41" s="1459"/>
    </row>
    <row r="42" spans="1:29">
      <c r="A42" s="1459"/>
      <c r="B42" s="1459"/>
      <c r="C42" s="1459"/>
      <c r="D42" s="1459"/>
      <c r="E42" s="1459"/>
      <c r="F42" s="1459"/>
      <c r="G42" s="1459"/>
      <c r="H42" s="1459"/>
      <c r="I42" s="1459"/>
      <c r="J42" s="1459"/>
      <c r="K42" s="724"/>
      <c r="L42" s="724"/>
      <c r="M42" s="724"/>
      <c r="N42" s="724"/>
      <c r="O42" s="724"/>
      <c r="P42" s="724"/>
      <c r="Q42" s="724"/>
      <c r="R42" s="724"/>
      <c r="S42" s="724"/>
      <c r="T42" s="724"/>
      <c r="U42" s="724"/>
      <c r="V42" s="724"/>
      <c r="W42" s="724"/>
      <c r="X42" s="724"/>
      <c r="Y42" s="724"/>
      <c r="Z42" s="1459"/>
      <c r="AA42" s="1459"/>
      <c r="AB42" s="1459"/>
      <c r="AC42" s="1459"/>
    </row>
    <row r="43" spans="1:29">
      <c r="A43" s="1459"/>
      <c r="B43" s="1459"/>
      <c r="C43" s="1459"/>
      <c r="D43" s="1459"/>
      <c r="E43" s="1459"/>
      <c r="F43" s="1459"/>
      <c r="G43" s="1459"/>
      <c r="H43" s="1459"/>
      <c r="I43" s="1459"/>
      <c r="J43" s="1459"/>
      <c r="K43" s="724"/>
      <c r="L43" s="724"/>
      <c r="M43" s="724"/>
      <c r="N43" s="724"/>
      <c r="O43" s="724"/>
      <c r="P43" s="724"/>
      <c r="Q43" s="724"/>
      <c r="R43" s="724"/>
      <c r="S43" s="724"/>
      <c r="T43" s="724"/>
      <c r="U43" s="724"/>
      <c r="V43" s="724"/>
      <c r="W43" s="724"/>
      <c r="X43" s="724"/>
      <c r="Y43" s="724"/>
      <c r="Z43" s="1459"/>
      <c r="AA43" s="1459"/>
      <c r="AB43" s="1459"/>
      <c r="AC43" s="1459"/>
    </row>
    <row r="44" spans="1:29">
      <c r="A44" s="1459"/>
      <c r="B44" s="1459"/>
      <c r="C44" s="1459"/>
      <c r="D44" s="1459"/>
      <c r="E44" s="1459"/>
      <c r="F44" s="1459"/>
      <c r="G44" s="1459"/>
      <c r="H44" s="1459"/>
      <c r="I44" s="1459"/>
      <c r="J44" s="1459"/>
      <c r="K44" s="724"/>
      <c r="L44" s="724"/>
      <c r="M44" s="724"/>
      <c r="N44" s="724"/>
      <c r="O44" s="724"/>
      <c r="P44" s="724"/>
      <c r="Q44" s="724"/>
      <c r="R44" s="724"/>
      <c r="S44" s="724"/>
      <c r="T44" s="724"/>
      <c r="U44" s="724"/>
      <c r="V44" s="724"/>
      <c r="W44" s="724"/>
      <c r="X44" s="724"/>
      <c r="Y44" s="724"/>
      <c r="Z44" s="1459"/>
      <c r="AA44" s="1459"/>
      <c r="AB44" s="1459"/>
      <c r="AC44" s="1459"/>
    </row>
    <row r="45" spans="1:29">
      <c r="A45" s="1461"/>
      <c r="B45" s="1461"/>
      <c r="C45" s="1461"/>
      <c r="D45" s="1461"/>
      <c r="E45" s="1461"/>
      <c r="F45" s="1461"/>
      <c r="G45" s="1461"/>
      <c r="H45" s="1459"/>
      <c r="I45" s="1459"/>
      <c r="J45" s="1459"/>
      <c r="K45" s="724"/>
      <c r="L45" s="724"/>
      <c r="M45" s="724"/>
      <c r="N45" s="724"/>
      <c r="O45" s="724"/>
      <c r="P45" s="724"/>
      <c r="Q45" s="724"/>
      <c r="R45" s="724"/>
      <c r="S45" s="724"/>
      <c r="T45" s="724"/>
      <c r="U45" s="724"/>
      <c r="V45" s="724"/>
      <c r="W45" s="724"/>
      <c r="X45" s="724"/>
      <c r="Y45" s="724"/>
      <c r="Z45" s="1459"/>
      <c r="AA45" s="1459"/>
      <c r="AB45" s="1459"/>
      <c r="AC45" s="1459"/>
    </row>
    <row r="46" spans="1:29">
      <c r="A46" s="1459"/>
      <c r="B46" s="1459"/>
      <c r="C46" s="1459"/>
      <c r="D46" s="1459"/>
      <c r="E46" s="1459"/>
      <c r="F46" s="1459"/>
      <c r="G46" s="1459"/>
      <c r="H46" s="1459"/>
      <c r="I46" s="1459"/>
      <c r="J46" s="1459"/>
      <c r="K46" s="724"/>
      <c r="L46" s="724"/>
      <c r="M46" s="724"/>
      <c r="N46" s="724"/>
      <c r="O46" s="724"/>
      <c r="P46" s="724"/>
      <c r="Q46" s="724"/>
      <c r="R46" s="724"/>
      <c r="S46" s="724"/>
      <c r="T46" s="724"/>
      <c r="U46" s="724"/>
      <c r="V46" s="724"/>
      <c r="W46" s="724"/>
      <c r="X46" s="724"/>
      <c r="Y46" s="724"/>
      <c r="Z46" s="1459"/>
      <c r="AA46" s="1459"/>
      <c r="AB46" s="1459"/>
      <c r="AC46" s="1459"/>
    </row>
    <row r="47" spans="1:29">
      <c r="A47" s="1459"/>
      <c r="B47" s="1459"/>
      <c r="C47" s="1459"/>
      <c r="D47" s="1459"/>
      <c r="E47" s="1459"/>
      <c r="F47" s="1459"/>
      <c r="G47" s="1459"/>
      <c r="H47" s="1459"/>
      <c r="I47" s="1459"/>
      <c r="J47" s="1459"/>
      <c r="K47" s="724"/>
      <c r="L47" s="724"/>
      <c r="M47" s="724"/>
      <c r="N47" s="724"/>
      <c r="O47" s="724"/>
      <c r="P47" s="724"/>
      <c r="Q47" s="724"/>
      <c r="R47" s="724"/>
      <c r="S47" s="724"/>
      <c r="T47" s="724"/>
      <c r="U47" s="724"/>
      <c r="V47" s="724"/>
      <c r="W47" s="724"/>
      <c r="X47" s="724"/>
      <c r="Y47" s="724"/>
      <c r="Z47" s="1459"/>
      <c r="AA47" s="1459"/>
      <c r="AB47" s="1459"/>
      <c r="AC47" s="1459"/>
    </row>
    <row r="48" spans="1:29">
      <c r="A48" s="1459"/>
      <c r="B48" s="1459"/>
      <c r="C48" s="1459"/>
      <c r="D48" s="1459"/>
      <c r="E48" s="1459"/>
      <c r="F48" s="1459"/>
      <c r="G48" s="1459"/>
      <c r="H48" s="1459"/>
      <c r="I48" s="1459"/>
      <c r="J48" s="1459"/>
      <c r="K48" s="724"/>
      <c r="L48" s="724"/>
      <c r="M48" s="724"/>
      <c r="N48" s="724"/>
      <c r="O48" s="724"/>
      <c r="P48" s="724"/>
      <c r="Q48" s="724"/>
      <c r="R48" s="724"/>
      <c r="S48" s="724"/>
      <c r="T48" s="724"/>
      <c r="U48" s="724"/>
      <c r="V48" s="724"/>
      <c r="W48" s="724"/>
      <c r="X48" s="724"/>
      <c r="Y48" s="724"/>
      <c r="Z48" s="1459"/>
      <c r="AA48" s="1459"/>
      <c r="AB48" s="1459"/>
      <c r="AC48" s="1459"/>
    </row>
    <row r="49" spans="1:29">
      <c r="A49" s="1459"/>
      <c r="B49" s="1459"/>
      <c r="C49" s="1459"/>
      <c r="D49" s="1459"/>
      <c r="E49" s="1459"/>
      <c r="F49" s="1459"/>
      <c r="G49" s="1459"/>
      <c r="H49" s="1459"/>
      <c r="I49" s="1459"/>
      <c r="J49" s="1459"/>
      <c r="K49" s="724"/>
      <c r="L49" s="724"/>
      <c r="M49" s="724"/>
      <c r="N49" s="724"/>
      <c r="O49" s="724"/>
      <c r="P49" s="724"/>
      <c r="Q49" s="724"/>
      <c r="R49" s="724"/>
      <c r="S49" s="724"/>
      <c r="T49" s="724"/>
      <c r="U49" s="724"/>
      <c r="V49" s="724"/>
      <c r="W49" s="724"/>
      <c r="X49" s="724"/>
      <c r="Y49" s="724"/>
      <c r="Z49" s="1459"/>
      <c r="AA49" s="1459"/>
      <c r="AB49" s="1459"/>
      <c r="AC49" s="1459"/>
    </row>
    <row r="50" spans="1:29">
      <c r="A50" s="1459"/>
      <c r="B50" s="1459"/>
      <c r="C50" s="1459"/>
      <c r="D50" s="1459"/>
      <c r="E50" s="1459"/>
      <c r="F50" s="1459"/>
      <c r="G50" s="1459"/>
      <c r="H50" s="1459"/>
      <c r="I50" s="1459"/>
      <c r="J50" s="1459"/>
      <c r="K50" s="724"/>
      <c r="L50" s="724"/>
      <c r="M50" s="724"/>
      <c r="N50" s="724"/>
      <c r="O50" s="724"/>
      <c r="P50" s="724"/>
      <c r="Q50" s="724"/>
      <c r="R50" s="724"/>
      <c r="S50" s="724"/>
      <c r="T50" s="724"/>
      <c r="U50" s="724"/>
      <c r="V50" s="724"/>
      <c r="W50" s="724"/>
      <c r="X50" s="724"/>
      <c r="Y50" s="724"/>
      <c r="Z50" s="1459"/>
      <c r="AA50" s="1459"/>
      <c r="AB50" s="1459"/>
      <c r="AC50" s="1459"/>
    </row>
    <row r="51" spans="1:29">
      <c r="A51" s="1459"/>
      <c r="B51" s="1459"/>
      <c r="C51" s="1459"/>
      <c r="D51" s="1459"/>
      <c r="E51" s="1459"/>
      <c r="F51" s="1459"/>
      <c r="G51" s="1459"/>
      <c r="H51" s="1459"/>
      <c r="I51" s="1459"/>
      <c r="J51" s="1459"/>
      <c r="K51" s="724"/>
      <c r="L51" s="724"/>
      <c r="M51" s="724"/>
      <c r="N51" s="724"/>
      <c r="O51" s="724"/>
      <c r="P51" s="724"/>
      <c r="Q51" s="724"/>
      <c r="R51" s="724"/>
      <c r="S51" s="724"/>
      <c r="T51" s="724"/>
      <c r="U51" s="724"/>
      <c r="V51" s="724"/>
      <c r="W51" s="724"/>
      <c r="X51" s="724"/>
      <c r="Y51" s="724"/>
      <c r="Z51" s="1459"/>
      <c r="AA51" s="1459"/>
      <c r="AB51" s="1459"/>
      <c r="AC51" s="1459"/>
    </row>
    <row r="52" spans="1:29">
      <c r="A52" s="1459"/>
      <c r="B52" s="1459"/>
      <c r="C52" s="1459"/>
      <c r="D52" s="1459"/>
      <c r="E52" s="1459"/>
      <c r="F52" s="1459"/>
      <c r="G52" s="1459"/>
      <c r="H52" s="1459"/>
      <c r="I52" s="1459"/>
      <c r="J52" s="1459"/>
      <c r="K52" s="724"/>
      <c r="L52" s="724"/>
      <c r="M52" s="724"/>
      <c r="N52" s="724"/>
      <c r="O52" s="724"/>
      <c r="P52" s="724"/>
      <c r="Q52" s="724"/>
      <c r="R52" s="724"/>
      <c r="S52" s="724"/>
      <c r="T52" s="724"/>
      <c r="U52" s="724"/>
      <c r="V52" s="724"/>
      <c r="W52" s="724"/>
      <c r="X52" s="724"/>
      <c r="Y52" s="724"/>
      <c r="Z52" s="1459"/>
      <c r="AA52" s="1459"/>
      <c r="AB52" s="1459"/>
      <c r="AC52" s="1459"/>
    </row>
    <row r="53" spans="1:29">
      <c r="A53" s="1459"/>
      <c r="B53" s="1459"/>
      <c r="C53" s="1459"/>
      <c r="D53" s="1459"/>
      <c r="E53" s="1459"/>
      <c r="F53" s="1459"/>
      <c r="G53" s="1459"/>
      <c r="H53" s="1459"/>
      <c r="I53" s="1459"/>
      <c r="J53" s="1459"/>
      <c r="K53" s="724"/>
      <c r="L53" s="724"/>
      <c r="M53" s="724"/>
      <c r="N53" s="724"/>
      <c r="O53" s="724"/>
      <c r="P53" s="724"/>
      <c r="Q53" s="724"/>
      <c r="R53" s="724"/>
      <c r="S53" s="724"/>
      <c r="T53" s="724"/>
      <c r="U53" s="724"/>
      <c r="V53" s="724"/>
      <c r="W53" s="724"/>
      <c r="X53" s="724"/>
      <c r="Y53" s="724"/>
      <c r="Z53" s="1459"/>
      <c r="AA53" s="1459"/>
      <c r="AB53" s="1459"/>
      <c r="AC53" s="1459"/>
    </row>
    <row r="54" spans="1:29">
      <c r="A54" s="1459"/>
      <c r="B54" s="1459"/>
      <c r="C54" s="1459"/>
      <c r="D54" s="1459"/>
      <c r="E54" s="1459"/>
      <c r="F54" s="1459"/>
      <c r="G54" s="1459"/>
      <c r="H54" s="1459"/>
      <c r="I54" s="1459"/>
      <c r="J54" s="1459"/>
      <c r="K54" s="724"/>
      <c r="L54" s="724"/>
      <c r="M54" s="724"/>
      <c r="N54" s="724"/>
      <c r="O54" s="724"/>
      <c r="P54" s="724"/>
      <c r="Q54" s="724"/>
      <c r="R54" s="724"/>
      <c r="S54" s="724"/>
      <c r="T54" s="724"/>
      <c r="U54" s="724"/>
      <c r="V54" s="724"/>
      <c r="W54" s="724"/>
      <c r="X54" s="724"/>
      <c r="Y54" s="724"/>
      <c r="Z54" s="1459"/>
      <c r="AA54" s="1459"/>
      <c r="AB54" s="1459"/>
      <c r="AC54" s="1459"/>
    </row>
    <row r="55" spans="1:29">
      <c r="A55" s="1459"/>
      <c r="B55" s="1459"/>
      <c r="C55" s="1459"/>
      <c r="D55" s="1459"/>
      <c r="E55" s="1459"/>
      <c r="F55" s="1459"/>
      <c r="G55" s="1459"/>
      <c r="H55" s="1459"/>
      <c r="I55" s="1459"/>
      <c r="J55" s="1459"/>
      <c r="K55" s="724"/>
      <c r="L55" s="724"/>
      <c r="M55" s="724"/>
      <c r="N55" s="724"/>
      <c r="O55" s="724"/>
      <c r="P55" s="724"/>
      <c r="Q55" s="724"/>
      <c r="R55" s="724"/>
      <c r="S55" s="724"/>
      <c r="T55" s="724"/>
      <c r="U55" s="724"/>
      <c r="V55" s="724"/>
      <c r="W55" s="724"/>
      <c r="X55" s="724"/>
      <c r="Y55" s="724"/>
      <c r="Z55" s="1459"/>
      <c r="AA55" s="1459"/>
      <c r="AB55" s="1459"/>
      <c r="AC55" s="1459"/>
    </row>
    <row r="56" spans="1:29">
      <c r="A56" s="1459"/>
      <c r="B56" s="1459"/>
      <c r="C56" s="1459"/>
      <c r="D56" s="1459"/>
      <c r="E56" s="1459"/>
      <c r="F56" s="1459"/>
      <c r="G56" s="1459"/>
      <c r="H56" s="1459"/>
      <c r="I56" s="1459"/>
      <c r="J56" s="1459"/>
      <c r="K56" s="724"/>
      <c r="L56" s="724"/>
      <c r="M56" s="724"/>
      <c r="N56" s="724"/>
      <c r="O56" s="724"/>
      <c r="P56" s="724"/>
      <c r="Q56" s="724"/>
      <c r="R56" s="724"/>
      <c r="S56" s="724"/>
      <c r="T56" s="724"/>
      <c r="U56" s="724"/>
      <c r="V56" s="724"/>
      <c r="W56" s="724"/>
      <c r="X56" s="724"/>
      <c r="Y56" s="724"/>
      <c r="Z56" s="1459"/>
      <c r="AA56" s="1459"/>
      <c r="AB56" s="1459"/>
      <c r="AC56" s="1459"/>
    </row>
    <row r="57" spans="1:29">
      <c r="A57" s="1459"/>
      <c r="B57" s="1459"/>
      <c r="C57" s="1459"/>
      <c r="D57" s="1459"/>
      <c r="E57" s="1459"/>
      <c r="F57" s="1459"/>
      <c r="G57" s="1459"/>
      <c r="H57" s="1459"/>
      <c r="I57" s="1459"/>
      <c r="J57" s="1459"/>
      <c r="K57" s="724"/>
      <c r="L57" s="724"/>
      <c r="M57" s="724"/>
      <c r="N57" s="724"/>
      <c r="O57" s="724"/>
      <c r="P57" s="724"/>
      <c r="Q57" s="724"/>
      <c r="R57" s="724"/>
      <c r="S57" s="724"/>
      <c r="T57" s="724"/>
      <c r="U57" s="724"/>
      <c r="V57" s="724"/>
      <c r="W57" s="724"/>
      <c r="X57" s="724"/>
      <c r="Y57" s="724"/>
      <c r="Z57" s="1459"/>
      <c r="AA57" s="1459"/>
      <c r="AB57" s="1459"/>
      <c r="AC57" s="1459"/>
    </row>
    <row r="58" spans="1:29">
      <c r="A58" s="1459"/>
      <c r="B58" s="1459"/>
      <c r="C58" s="1459"/>
      <c r="D58" s="1459"/>
      <c r="E58" s="1459"/>
      <c r="F58" s="1459"/>
      <c r="G58" s="1459"/>
      <c r="H58" s="1459"/>
      <c r="I58" s="1459"/>
      <c r="J58" s="1459"/>
      <c r="K58" s="724"/>
      <c r="L58" s="724"/>
      <c r="M58" s="724"/>
      <c r="N58" s="724"/>
      <c r="O58" s="724"/>
      <c r="P58" s="724"/>
      <c r="Q58" s="724"/>
      <c r="R58" s="724"/>
      <c r="S58" s="724"/>
      <c r="T58" s="724"/>
      <c r="U58" s="724"/>
      <c r="V58" s="724"/>
      <c r="W58" s="724"/>
      <c r="X58" s="724"/>
      <c r="Y58" s="724"/>
      <c r="Z58" s="1459"/>
      <c r="AA58" s="1459"/>
      <c r="AB58" s="1459"/>
      <c r="AC58" s="1459"/>
    </row>
    <row r="59" spans="1:29">
      <c r="A59" s="1459"/>
      <c r="B59" s="1459"/>
      <c r="C59" s="1459"/>
      <c r="D59" s="1459"/>
      <c r="E59" s="1459"/>
      <c r="F59" s="1459"/>
      <c r="G59" s="1459"/>
      <c r="H59" s="1459"/>
      <c r="I59" s="1459"/>
      <c r="J59" s="1459"/>
      <c r="K59" s="724"/>
      <c r="L59" s="724"/>
      <c r="M59" s="724"/>
      <c r="N59" s="724"/>
      <c r="O59" s="724"/>
      <c r="P59" s="724"/>
      <c r="Q59" s="724"/>
      <c r="R59" s="724"/>
      <c r="S59" s="724"/>
      <c r="T59" s="724"/>
      <c r="U59" s="724"/>
      <c r="V59" s="724"/>
      <c r="W59" s="724"/>
      <c r="X59" s="724"/>
      <c r="Y59" s="724"/>
      <c r="Z59" s="1459"/>
      <c r="AA59" s="1459"/>
      <c r="AB59" s="1459"/>
      <c r="AC59" s="1459"/>
    </row>
    <row r="60" spans="1:29">
      <c r="A60" s="1459"/>
      <c r="B60" s="1459"/>
      <c r="C60" s="1459"/>
      <c r="D60" s="1459"/>
      <c r="E60" s="1459"/>
      <c r="F60" s="1459"/>
      <c r="G60" s="1459"/>
      <c r="H60" s="1459"/>
      <c r="I60" s="1459"/>
      <c r="J60" s="1459"/>
      <c r="K60" s="724"/>
      <c r="L60" s="724"/>
      <c r="M60" s="724"/>
      <c r="N60" s="724"/>
      <c r="O60" s="724"/>
      <c r="P60" s="724"/>
      <c r="Q60" s="724"/>
      <c r="R60" s="724"/>
      <c r="S60" s="724"/>
      <c r="T60" s="724"/>
      <c r="U60" s="724"/>
      <c r="V60" s="724"/>
      <c r="W60" s="724"/>
      <c r="X60" s="724"/>
      <c r="Y60" s="724"/>
      <c r="Z60" s="1459"/>
      <c r="AA60" s="1459"/>
      <c r="AB60" s="1459"/>
      <c r="AC60" s="1459"/>
    </row>
    <row r="61" spans="1:29">
      <c r="A61" s="1459"/>
      <c r="B61" s="1459"/>
      <c r="C61" s="1459"/>
      <c r="D61" s="1459"/>
      <c r="E61" s="1459"/>
      <c r="F61" s="1459"/>
      <c r="G61" s="1459"/>
      <c r="H61" s="1459"/>
      <c r="I61" s="1459"/>
      <c r="J61" s="1459"/>
      <c r="K61" s="724"/>
      <c r="L61" s="724"/>
      <c r="M61" s="724"/>
      <c r="N61" s="724"/>
      <c r="O61" s="724"/>
      <c r="P61" s="724"/>
      <c r="Q61" s="724"/>
      <c r="R61" s="724"/>
      <c r="S61" s="724"/>
      <c r="T61" s="724"/>
      <c r="U61" s="724"/>
      <c r="V61" s="724"/>
      <c r="W61" s="724"/>
      <c r="X61" s="724"/>
      <c r="Y61" s="724"/>
      <c r="Z61" s="1459"/>
      <c r="AA61" s="1459"/>
      <c r="AB61" s="1459"/>
      <c r="AC61" s="1459"/>
    </row>
    <row r="62" spans="1:29">
      <c r="A62" s="1459"/>
      <c r="B62" s="1459"/>
      <c r="C62" s="1459"/>
      <c r="D62" s="1459"/>
      <c r="E62" s="1459"/>
      <c r="F62" s="1459"/>
      <c r="G62" s="1459"/>
      <c r="H62" s="1459"/>
      <c r="I62" s="1459"/>
      <c r="J62" s="1459"/>
      <c r="K62" s="724"/>
      <c r="L62" s="724"/>
      <c r="M62" s="724"/>
      <c r="N62" s="724"/>
      <c r="O62" s="724"/>
      <c r="P62" s="724"/>
      <c r="Q62" s="724"/>
      <c r="R62" s="724"/>
      <c r="S62" s="724"/>
      <c r="T62" s="724"/>
      <c r="U62" s="724"/>
      <c r="V62" s="724"/>
      <c r="W62" s="724"/>
      <c r="X62" s="724"/>
      <c r="Y62" s="724"/>
      <c r="Z62" s="1459"/>
      <c r="AA62" s="1459"/>
      <c r="AB62" s="1459"/>
      <c r="AC62" s="1459"/>
    </row>
    <row r="63" spans="1:29">
      <c r="A63" s="1459"/>
      <c r="B63" s="1459"/>
      <c r="C63" s="1459"/>
      <c r="D63" s="1459"/>
      <c r="E63" s="1459"/>
      <c r="F63" s="1459"/>
      <c r="G63" s="1459"/>
      <c r="H63" s="1459"/>
      <c r="I63" s="1459"/>
      <c r="J63" s="1459"/>
      <c r="K63" s="724"/>
      <c r="L63" s="724"/>
      <c r="M63" s="724"/>
      <c r="N63" s="724"/>
      <c r="O63" s="724"/>
      <c r="P63" s="724"/>
      <c r="Q63" s="724"/>
      <c r="R63" s="724"/>
      <c r="S63" s="724"/>
      <c r="T63" s="724"/>
      <c r="U63" s="724"/>
      <c r="V63" s="724"/>
      <c r="W63" s="724"/>
      <c r="X63" s="724"/>
      <c r="Y63" s="724"/>
      <c r="Z63" s="1459"/>
      <c r="AA63" s="1459"/>
      <c r="AB63" s="1459"/>
      <c r="AC63" s="1459"/>
    </row>
    <row r="64" spans="1:29">
      <c r="A64" s="1459"/>
      <c r="B64" s="1459"/>
      <c r="C64" s="1459"/>
      <c r="D64" s="1459"/>
      <c r="E64" s="1459"/>
      <c r="F64" s="1459"/>
      <c r="G64" s="1459"/>
      <c r="H64" s="1459"/>
      <c r="I64" s="1459"/>
      <c r="J64" s="1459"/>
      <c r="K64" s="724"/>
      <c r="L64" s="724"/>
      <c r="M64" s="724"/>
      <c r="N64" s="724"/>
      <c r="O64" s="724"/>
      <c r="P64" s="724"/>
      <c r="Q64" s="724"/>
      <c r="R64" s="724"/>
      <c r="S64" s="724"/>
      <c r="T64" s="724"/>
      <c r="U64" s="724"/>
      <c r="V64" s="724"/>
      <c r="W64" s="724"/>
      <c r="X64" s="724"/>
      <c r="Y64" s="724"/>
      <c r="Z64" s="1459"/>
      <c r="AA64" s="1459"/>
      <c r="AB64" s="1459"/>
      <c r="AC64" s="1459"/>
    </row>
    <row r="65" spans="1:29">
      <c r="A65" s="1459"/>
      <c r="B65" s="1459"/>
      <c r="C65" s="1459"/>
      <c r="D65" s="1459"/>
      <c r="E65" s="1459"/>
      <c r="F65" s="1459"/>
      <c r="G65" s="1459"/>
      <c r="H65" s="1459"/>
      <c r="I65" s="1459"/>
      <c r="J65" s="1459"/>
      <c r="K65" s="724"/>
      <c r="L65" s="724"/>
      <c r="M65" s="724"/>
      <c r="N65" s="724"/>
      <c r="O65" s="724"/>
      <c r="P65" s="724"/>
      <c r="Q65" s="724"/>
      <c r="R65" s="724"/>
      <c r="S65" s="724"/>
      <c r="T65" s="724"/>
      <c r="U65" s="724"/>
      <c r="V65" s="724"/>
      <c r="W65" s="724"/>
      <c r="X65" s="724"/>
      <c r="Y65" s="724"/>
      <c r="Z65" s="1459"/>
      <c r="AA65" s="1459"/>
      <c r="AB65" s="1459"/>
      <c r="AC65" s="1459"/>
    </row>
    <row r="66" spans="1:29">
      <c r="A66" s="1459"/>
      <c r="B66" s="1459"/>
      <c r="C66" s="1459"/>
      <c r="D66" s="1459"/>
      <c r="E66" s="1459"/>
      <c r="F66" s="1459"/>
      <c r="G66" s="1459"/>
      <c r="H66" s="1459"/>
      <c r="I66" s="1459"/>
      <c r="J66" s="1459"/>
      <c r="K66" s="724"/>
      <c r="L66" s="724"/>
      <c r="M66" s="724"/>
      <c r="N66" s="724"/>
      <c r="O66" s="724"/>
      <c r="P66" s="724"/>
      <c r="Q66" s="724"/>
      <c r="R66" s="724"/>
      <c r="S66" s="724"/>
      <c r="T66" s="724"/>
      <c r="U66" s="724"/>
      <c r="V66" s="724"/>
      <c r="W66" s="724"/>
      <c r="X66" s="724"/>
      <c r="Y66" s="724"/>
      <c r="Z66" s="1459"/>
      <c r="AA66" s="1459"/>
      <c r="AB66" s="1459"/>
      <c r="AC66" s="1459"/>
    </row>
    <row r="67" spans="1:29">
      <c r="A67" s="1459"/>
      <c r="B67" s="1459"/>
      <c r="C67" s="1459"/>
      <c r="D67" s="1459"/>
      <c r="E67" s="1459"/>
      <c r="F67" s="1459"/>
      <c r="G67" s="1459"/>
      <c r="H67" s="1459"/>
      <c r="I67" s="1459"/>
      <c r="J67" s="1459"/>
      <c r="K67" s="724"/>
      <c r="L67" s="724"/>
      <c r="M67" s="724"/>
      <c r="N67" s="724"/>
      <c r="O67" s="724"/>
      <c r="P67" s="724"/>
      <c r="Q67" s="724"/>
      <c r="R67" s="724"/>
      <c r="S67" s="724"/>
      <c r="T67" s="724"/>
      <c r="U67" s="724"/>
      <c r="V67" s="724"/>
      <c r="W67" s="724"/>
      <c r="X67" s="724"/>
      <c r="Y67" s="724"/>
      <c r="Z67" s="1459"/>
      <c r="AA67" s="1459"/>
      <c r="AB67" s="1459"/>
      <c r="AC67" s="1459"/>
    </row>
    <row r="68" spans="1:29">
      <c r="A68" s="1459"/>
      <c r="B68" s="1459"/>
      <c r="C68" s="1459"/>
      <c r="D68" s="1459"/>
      <c r="E68" s="1459"/>
      <c r="F68" s="1459"/>
      <c r="G68" s="1459"/>
      <c r="H68" s="1459"/>
      <c r="I68" s="1459"/>
      <c r="J68" s="1459"/>
      <c r="K68" s="724"/>
      <c r="L68" s="724"/>
      <c r="M68" s="724"/>
      <c r="N68" s="724"/>
      <c r="O68" s="724"/>
      <c r="P68" s="724"/>
      <c r="Q68" s="724"/>
      <c r="R68" s="724"/>
      <c r="S68" s="724"/>
      <c r="T68" s="724"/>
      <c r="U68" s="724"/>
      <c r="V68" s="724"/>
      <c r="W68" s="724"/>
      <c r="X68" s="724"/>
      <c r="Y68" s="724"/>
      <c r="Z68" s="1459"/>
      <c r="AA68" s="1459"/>
      <c r="AB68" s="1459"/>
      <c r="AC68" s="1459"/>
    </row>
    <row r="69" spans="1:29">
      <c r="A69" s="1459"/>
      <c r="B69" s="1459"/>
      <c r="C69" s="1459"/>
      <c r="D69" s="1459"/>
      <c r="E69" s="1459"/>
      <c r="F69" s="1459"/>
      <c r="G69" s="1459"/>
      <c r="H69" s="1459"/>
      <c r="I69" s="1459"/>
      <c r="J69" s="1459"/>
      <c r="K69" s="724"/>
      <c r="L69" s="724"/>
      <c r="M69" s="724"/>
      <c r="N69" s="724"/>
      <c r="O69" s="724"/>
      <c r="P69" s="724"/>
      <c r="Q69" s="724"/>
      <c r="R69" s="724"/>
      <c r="S69" s="724"/>
      <c r="T69" s="724"/>
      <c r="U69" s="724"/>
      <c r="V69" s="724"/>
      <c r="W69" s="724"/>
      <c r="X69" s="724"/>
      <c r="Y69" s="724"/>
      <c r="Z69" s="1459"/>
      <c r="AA69" s="1459"/>
      <c r="AB69" s="1459"/>
      <c r="AC69" s="1459"/>
    </row>
    <row r="70" spans="1:29">
      <c r="A70" s="1459"/>
      <c r="B70" s="1459"/>
      <c r="C70" s="1459"/>
      <c r="D70" s="1459"/>
      <c r="E70" s="1459"/>
      <c r="F70" s="1459"/>
      <c r="G70" s="1459"/>
      <c r="H70" s="1459"/>
      <c r="I70" s="1459"/>
      <c r="J70" s="1459"/>
      <c r="K70" s="724"/>
      <c r="L70" s="724"/>
      <c r="M70" s="724"/>
      <c r="N70" s="724"/>
      <c r="O70" s="724"/>
      <c r="P70" s="724"/>
      <c r="Q70" s="724"/>
      <c r="R70" s="724"/>
      <c r="S70" s="724"/>
      <c r="T70" s="724"/>
      <c r="U70" s="724"/>
      <c r="V70" s="724"/>
      <c r="W70" s="724"/>
      <c r="X70" s="724"/>
      <c r="Y70" s="724"/>
      <c r="Z70" s="1459"/>
      <c r="AA70" s="1459"/>
      <c r="AB70" s="1459"/>
      <c r="AC70" s="1459"/>
    </row>
    <row r="71" spans="1:29">
      <c r="A71" s="1459"/>
      <c r="B71" s="1459"/>
      <c r="C71" s="1459"/>
      <c r="D71" s="1459"/>
      <c r="E71" s="1459"/>
      <c r="F71" s="1459"/>
      <c r="G71" s="1459"/>
      <c r="H71" s="1459"/>
      <c r="I71" s="1459"/>
      <c r="J71" s="1459"/>
      <c r="K71" s="724"/>
      <c r="L71" s="724"/>
      <c r="M71" s="724"/>
      <c r="N71" s="724"/>
      <c r="O71" s="724"/>
      <c r="P71" s="724"/>
      <c r="Q71" s="724"/>
      <c r="R71" s="724"/>
      <c r="S71" s="724"/>
      <c r="T71" s="724"/>
      <c r="U71" s="724"/>
      <c r="V71" s="724"/>
      <c r="W71" s="724"/>
      <c r="X71" s="724"/>
      <c r="Y71" s="724"/>
      <c r="Z71" s="1459"/>
      <c r="AA71" s="1459"/>
      <c r="AB71" s="1459"/>
      <c r="AC71" s="1459"/>
    </row>
    <row r="72" spans="1:29">
      <c r="A72" s="1459"/>
      <c r="B72" s="1459"/>
      <c r="C72" s="1459"/>
      <c r="D72" s="1459"/>
      <c r="E72" s="1459"/>
      <c r="F72" s="1459"/>
      <c r="G72" s="1459"/>
      <c r="H72" s="1459"/>
      <c r="I72" s="1459"/>
      <c r="J72" s="1459"/>
      <c r="K72" s="724"/>
      <c r="L72" s="724"/>
      <c r="M72" s="724"/>
      <c r="N72" s="724"/>
      <c r="O72" s="724"/>
      <c r="P72" s="724"/>
      <c r="Q72" s="724"/>
      <c r="R72" s="724"/>
      <c r="S72" s="724"/>
      <c r="T72" s="724"/>
      <c r="U72" s="724"/>
      <c r="V72" s="724"/>
      <c r="W72" s="724"/>
      <c r="X72" s="724"/>
      <c r="Y72" s="724"/>
      <c r="Z72" s="1459"/>
      <c r="AA72" s="1459"/>
      <c r="AB72" s="1459"/>
      <c r="AC72" s="1459"/>
    </row>
    <row r="73" spans="1:29">
      <c r="A73" s="1459"/>
      <c r="B73" s="1459"/>
      <c r="C73" s="1459"/>
      <c r="D73" s="1459"/>
      <c r="E73" s="1459"/>
      <c r="F73" s="1459"/>
      <c r="G73" s="1459"/>
      <c r="H73" s="1459"/>
      <c r="I73" s="1459"/>
      <c r="J73" s="1459"/>
      <c r="K73" s="724"/>
      <c r="L73" s="724"/>
      <c r="M73" s="724"/>
      <c r="N73" s="724"/>
      <c r="O73" s="724"/>
      <c r="P73" s="724"/>
      <c r="Q73" s="724"/>
      <c r="R73" s="724"/>
      <c r="S73" s="724"/>
      <c r="T73" s="724"/>
      <c r="U73" s="724"/>
      <c r="V73" s="724"/>
      <c r="W73" s="724"/>
      <c r="X73" s="724"/>
      <c r="Y73" s="724"/>
      <c r="Z73" s="1459"/>
      <c r="AA73" s="1459"/>
      <c r="AB73" s="1459"/>
      <c r="AC73" s="1459"/>
    </row>
    <row r="74" spans="1:29">
      <c r="A74" s="1459"/>
      <c r="B74" s="1459"/>
      <c r="C74" s="1459"/>
      <c r="D74" s="1459"/>
      <c r="E74" s="1459"/>
      <c r="F74" s="1459"/>
      <c r="G74" s="1459"/>
      <c r="H74" s="1459"/>
      <c r="I74" s="1459"/>
      <c r="J74" s="1459"/>
      <c r="K74" s="724"/>
      <c r="L74" s="724"/>
      <c r="M74" s="724"/>
      <c r="N74" s="724"/>
      <c r="O74" s="724"/>
      <c r="P74" s="724"/>
      <c r="Q74" s="724"/>
      <c r="R74" s="724"/>
      <c r="S74" s="724"/>
      <c r="T74" s="724"/>
      <c r="U74" s="724"/>
      <c r="V74" s="724"/>
      <c r="W74" s="724"/>
      <c r="X74" s="724"/>
      <c r="Y74" s="724"/>
      <c r="Z74" s="1459"/>
      <c r="AA74" s="1459"/>
      <c r="AB74" s="1459"/>
      <c r="AC74" s="1459"/>
    </row>
    <row r="75" spans="1:29">
      <c r="A75" s="1459"/>
      <c r="B75" s="1459"/>
      <c r="C75" s="1459"/>
      <c r="D75" s="1459"/>
      <c r="E75" s="1459"/>
      <c r="F75" s="1459"/>
      <c r="G75" s="1459"/>
      <c r="H75" s="1459"/>
      <c r="I75" s="1459"/>
      <c r="J75" s="1459"/>
      <c r="K75" s="724"/>
      <c r="L75" s="724"/>
      <c r="M75" s="724"/>
      <c r="N75" s="724"/>
      <c r="O75" s="724"/>
      <c r="P75" s="724"/>
      <c r="Q75" s="724"/>
      <c r="R75" s="724"/>
      <c r="S75" s="724"/>
      <c r="T75" s="724"/>
      <c r="U75" s="724"/>
      <c r="V75" s="724"/>
      <c r="W75" s="724"/>
      <c r="X75" s="724"/>
      <c r="Y75" s="724"/>
      <c r="Z75" s="1459"/>
      <c r="AA75" s="1459"/>
      <c r="AB75" s="1459"/>
      <c r="AC75" s="1459"/>
    </row>
    <row r="76" spans="1:29">
      <c r="A76" s="1459"/>
      <c r="B76" s="1459"/>
      <c r="C76" s="1459"/>
      <c r="D76" s="1459"/>
      <c r="E76" s="1459"/>
      <c r="F76" s="1459"/>
      <c r="G76" s="1459"/>
      <c r="H76" s="1459"/>
      <c r="I76" s="1459"/>
      <c r="J76" s="1459"/>
      <c r="K76" s="724"/>
      <c r="L76" s="724"/>
      <c r="M76" s="724"/>
      <c r="N76" s="724"/>
      <c r="O76" s="724"/>
      <c r="P76" s="724"/>
      <c r="Q76" s="724"/>
      <c r="R76" s="724"/>
      <c r="S76" s="724"/>
      <c r="T76" s="724"/>
      <c r="U76" s="724"/>
      <c r="V76" s="724"/>
      <c r="W76" s="724"/>
      <c r="X76" s="724"/>
      <c r="Y76" s="724"/>
      <c r="Z76" s="1459"/>
      <c r="AA76" s="1459"/>
      <c r="AB76" s="1459"/>
      <c r="AC76" s="1459"/>
    </row>
    <row r="77" spans="1:29">
      <c r="A77" s="1459"/>
      <c r="B77" s="1459"/>
      <c r="C77" s="1459"/>
      <c r="D77" s="1459"/>
      <c r="E77" s="1459"/>
      <c r="F77" s="1459"/>
      <c r="G77" s="1459"/>
      <c r="H77" s="1459"/>
      <c r="I77" s="1459"/>
      <c r="J77" s="1459"/>
      <c r="K77" s="724"/>
      <c r="L77" s="724"/>
      <c r="M77" s="724"/>
      <c r="N77" s="724"/>
      <c r="O77" s="724"/>
      <c r="P77" s="724"/>
      <c r="Q77" s="724"/>
      <c r="R77" s="724"/>
      <c r="S77" s="724"/>
      <c r="T77" s="724"/>
      <c r="U77" s="724"/>
      <c r="V77" s="724"/>
      <c r="W77" s="724"/>
      <c r="X77" s="724"/>
      <c r="Y77" s="724"/>
      <c r="Z77" s="1459"/>
      <c r="AA77" s="1459"/>
      <c r="AB77" s="1459"/>
      <c r="AC77" s="1459"/>
    </row>
    <row r="78" spans="1:29">
      <c r="A78" s="1459"/>
      <c r="B78" s="1459"/>
      <c r="C78" s="1459"/>
      <c r="D78" s="1459"/>
      <c r="E78" s="1459"/>
      <c r="F78" s="1459"/>
      <c r="G78" s="1459"/>
      <c r="H78" s="1459"/>
      <c r="I78" s="1459"/>
      <c r="J78" s="1459"/>
      <c r="K78" s="724"/>
      <c r="L78" s="724"/>
      <c r="M78" s="724"/>
      <c r="N78" s="724"/>
      <c r="O78" s="724"/>
      <c r="P78" s="724"/>
      <c r="Q78" s="724"/>
      <c r="R78" s="724"/>
      <c r="S78" s="724"/>
      <c r="T78" s="724"/>
      <c r="U78" s="724"/>
      <c r="V78" s="724"/>
      <c r="W78" s="724"/>
      <c r="X78" s="724"/>
      <c r="Y78" s="724"/>
      <c r="Z78" s="1459"/>
      <c r="AA78" s="1459"/>
      <c r="AB78" s="1459"/>
      <c r="AC78" s="1459"/>
    </row>
    <row r="79" spans="1:29">
      <c r="A79" s="1459"/>
      <c r="B79" s="1459"/>
      <c r="C79" s="1459"/>
      <c r="D79" s="1459"/>
      <c r="E79" s="1459"/>
      <c r="F79" s="1459"/>
      <c r="G79" s="1459"/>
      <c r="H79" s="1459"/>
      <c r="I79" s="1459"/>
      <c r="J79" s="1459"/>
      <c r="K79" s="724"/>
      <c r="L79" s="724"/>
      <c r="M79" s="724"/>
      <c r="N79" s="724"/>
      <c r="O79" s="724"/>
      <c r="P79" s="724"/>
      <c r="Q79" s="724"/>
      <c r="R79" s="724"/>
      <c r="S79" s="724"/>
      <c r="T79" s="724"/>
      <c r="U79" s="724"/>
      <c r="V79" s="724"/>
      <c r="W79" s="724"/>
      <c r="X79" s="724"/>
      <c r="Y79" s="724"/>
      <c r="Z79" s="1459"/>
      <c r="AA79" s="1459"/>
      <c r="AB79" s="1459"/>
      <c r="AC79" s="1459"/>
    </row>
    <row r="80" spans="1:29">
      <c r="A80" s="1459"/>
      <c r="B80" s="1459"/>
      <c r="C80" s="1459"/>
      <c r="D80" s="1459"/>
      <c r="E80" s="1459"/>
      <c r="F80" s="1459"/>
      <c r="G80" s="1459"/>
      <c r="H80" s="1459"/>
      <c r="I80" s="1459"/>
      <c r="J80" s="1459"/>
      <c r="K80" s="724"/>
      <c r="L80" s="724"/>
      <c r="M80" s="724"/>
      <c r="N80" s="724"/>
      <c r="O80" s="724"/>
      <c r="P80" s="724"/>
      <c r="Q80" s="724"/>
      <c r="R80" s="724"/>
      <c r="S80" s="724"/>
      <c r="T80" s="724"/>
      <c r="U80" s="724"/>
      <c r="V80" s="724"/>
      <c r="W80" s="724"/>
      <c r="X80" s="724"/>
      <c r="Y80" s="724"/>
      <c r="Z80" s="1459"/>
      <c r="AA80" s="1459"/>
      <c r="AB80" s="1459"/>
      <c r="AC80" s="1459"/>
    </row>
    <row r="81" spans="1:29">
      <c r="A81" s="1459"/>
      <c r="B81" s="1459"/>
      <c r="C81" s="1459"/>
      <c r="D81" s="1459"/>
      <c r="E81" s="1459"/>
      <c r="F81" s="1459"/>
      <c r="G81" s="1459"/>
      <c r="H81" s="1459"/>
      <c r="I81" s="1459"/>
      <c r="J81" s="1459"/>
      <c r="K81" s="724"/>
      <c r="L81" s="724"/>
      <c r="M81" s="724"/>
      <c r="N81" s="724"/>
      <c r="O81" s="724"/>
      <c r="P81" s="724"/>
      <c r="Q81" s="724"/>
      <c r="R81" s="724"/>
      <c r="S81" s="724"/>
      <c r="T81" s="724"/>
      <c r="U81" s="724"/>
      <c r="V81" s="724"/>
      <c r="W81" s="724"/>
      <c r="X81" s="724"/>
      <c r="Y81" s="724"/>
      <c r="Z81" s="1459"/>
      <c r="AA81" s="1459"/>
      <c r="AB81" s="1459"/>
      <c r="AC81" s="1459"/>
    </row>
    <row r="82" spans="1:29">
      <c r="A82" s="1459"/>
      <c r="B82" s="1459"/>
      <c r="C82" s="1459"/>
      <c r="D82" s="1459"/>
      <c r="E82" s="1459"/>
      <c r="F82" s="1459"/>
      <c r="G82" s="1459"/>
      <c r="H82" s="1459"/>
      <c r="I82" s="1459"/>
      <c r="J82" s="1459"/>
      <c r="K82" s="724"/>
      <c r="L82" s="724"/>
      <c r="M82" s="724"/>
      <c r="N82" s="724"/>
      <c r="O82" s="724"/>
      <c r="P82" s="724"/>
      <c r="Q82" s="724"/>
      <c r="R82" s="724"/>
      <c r="S82" s="724"/>
      <c r="T82" s="724"/>
      <c r="U82" s="724"/>
      <c r="V82" s="724"/>
      <c r="W82" s="724"/>
      <c r="X82" s="724"/>
      <c r="Y82" s="724"/>
      <c r="Z82" s="1459"/>
      <c r="AA82" s="1459"/>
      <c r="AB82" s="1459"/>
      <c r="AC82" s="1459"/>
    </row>
    <row r="83" spans="1:29">
      <c r="A83" s="1459"/>
      <c r="B83" s="1459"/>
      <c r="C83" s="1459"/>
      <c r="D83" s="1459"/>
      <c r="E83" s="1459"/>
      <c r="F83" s="1459"/>
      <c r="G83" s="1459"/>
      <c r="H83" s="1459"/>
      <c r="I83" s="1459"/>
      <c r="J83" s="1459"/>
      <c r="K83" s="724"/>
      <c r="L83" s="724"/>
      <c r="M83" s="724"/>
      <c r="N83" s="724"/>
      <c r="O83" s="724"/>
      <c r="P83" s="724"/>
      <c r="Q83" s="724"/>
      <c r="R83" s="724"/>
      <c r="S83" s="724"/>
      <c r="T83" s="724"/>
      <c r="U83" s="724"/>
      <c r="V83" s="724"/>
      <c r="W83" s="724"/>
      <c r="X83" s="724"/>
      <c r="Y83" s="724"/>
      <c r="Z83" s="1459"/>
      <c r="AA83" s="1459"/>
      <c r="AB83" s="1459"/>
      <c r="AC83" s="1459"/>
    </row>
    <row r="84" spans="1:29">
      <c r="A84" s="1459"/>
      <c r="B84" s="1459"/>
      <c r="C84" s="1459"/>
      <c r="D84" s="1459"/>
      <c r="E84" s="1459"/>
      <c r="F84" s="1459"/>
      <c r="G84" s="1459"/>
      <c r="H84" s="1459"/>
      <c r="I84" s="1459"/>
      <c r="J84" s="1459"/>
      <c r="K84" s="724"/>
      <c r="L84" s="724"/>
      <c r="M84" s="724"/>
      <c r="N84" s="724"/>
      <c r="O84" s="724"/>
      <c r="P84" s="724"/>
      <c r="Q84" s="724"/>
      <c r="R84" s="724"/>
      <c r="S84" s="724"/>
      <c r="T84" s="724"/>
      <c r="U84" s="724"/>
      <c r="V84" s="724"/>
      <c r="W84" s="724"/>
      <c r="X84" s="724"/>
      <c r="Y84" s="724"/>
      <c r="Z84" s="1459"/>
      <c r="AA84" s="1459"/>
      <c r="AB84" s="1459"/>
      <c r="AC84" s="1459"/>
    </row>
    <row r="85" spans="1:29">
      <c r="A85" s="1459"/>
      <c r="B85" s="1459"/>
      <c r="C85" s="1459"/>
      <c r="D85" s="1459"/>
      <c r="E85" s="1459"/>
      <c r="F85" s="1459"/>
      <c r="G85" s="1459"/>
      <c r="H85" s="1459"/>
      <c r="I85" s="1459"/>
      <c r="J85" s="1459"/>
      <c r="K85" s="724"/>
      <c r="L85" s="724"/>
      <c r="M85" s="724"/>
      <c r="N85" s="724"/>
      <c r="O85" s="724"/>
      <c r="P85" s="724"/>
      <c r="Q85" s="724"/>
      <c r="R85" s="724"/>
      <c r="S85" s="724"/>
      <c r="T85" s="724"/>
      <c r="U85" s="724"/>
      <c r="V85" s="724"/>
      <c r="W85" s="724"/>
      <c r="X85" s="724"/>
      <c r="Y85" s="724"/>
      <c r="Z85" s="1459"/>
      <c r="AA85" s="1459"/>
      <c r="AB85" s="1459"/>
      <c r="AC85" s="1459"/>
    </row>
    <row r="86" spans="1:29">
      <c r="A86" s="1459"/>
      <c r="B86" s="1459"/>
      <c r="C86" s="1459"/>
      <c r="D86" s="1459"/>
      <c r="E86" s="1459"/>
      <c r="F86" s="1459"/>
      <c r="G86" s="1459"/>
      <c r="H86" s="1459"/>
      <c r="I86" s="1459"/>
      <c r="J86" s="1459"/>
      <c r="K86" s="724"/>
      <c r="L86" s="724"/>
      <c r="M86" s="724"/>
      <c r="N86" s="724"/>
      <c r="O86" s="724"/>
      <c r="P86" s="724"/>
      <c r="Q86" s="724"/>
      <c r="R86" s="724"/>
      <c r="S86" s="724"/>
      <c r="T86" s="724"/>
      <c r="U86" s="724"/>
      <c r="V86" s="724"/>
      <c r="W86" s="724"/>
      <c r="X86" s="724"/>
      <c r="Y86" s="724"/>
      <c r="Z86" s="1459"/>
      <c r="AA86" s="1459"/>
      <c r="AB86" s="1459"/>
      <c r="AC86" s="1459"/>
    </row>
    <row r="87" spans="1:29">
      <c r="A87" s="1459"/>
      <c r="B87" s="1459"/>
      <c r="C87" s="1459"/>
      <c r="D87" s="1459"/>
      <c r="E87" s="1459"/>
      <c r="F87" s="1459"/>
      <c r="G87" s="1459"/>
      <c r="H87" s="1459"/>
      <c r="I87" s="1459"/>
      <c r="J87" s="1459"/>
      <c r="K87" s="724"/>
      <c r="L87" s="724"/>
      <c r="M87" s="724"/>
      <c r="N87" s="724"/>
      <c r="O87" s="724"/>
      <c r="P87" s="724"/>
      <c r="Q87" s="724"/>
      <c r="R87" s="724"/>
      <c r="S87" s="724"/>
      <c r="T87" s="724"/>
      <c r="U87" s="724"/>
      <c r="V87" s="724"/>
      <c r="W87" s="724"/>
      <c r="X87" s="724"/>
      <c r="Y87" s="724"/>
      <c r="Z87" s="1459"/>
      <c r="AA87" s="1459"/>
      <c r="AB87" s="1459"/>
      <c r="AC87" s="1459"/>
    </row>
    <row r="88" spans="1:29">
      <c r="A88" s="1459"/>
      <c r="B88" s="1459"/>
      <c r="C88" s="1459"/>
      <c r="D88" s="1459"/>
      <c r="E88" s="1459"/>
      <c r="F88" s="1459"/>
      <c r="G88" s="1459"/>
      <c r="H88" s="1459"/>
      <c r="I88" s="1459"/>
      <c r="J88" s="1459"/>
      <c r="K88" s="724"/>
      <c r="L88" s="724"/>
      <c r="M88" s="724"/>
      <c r="N88" s="724"/>
      <c r="O88" s="724"/>
      <c r="P88" s="724"/>
      <c r="Q88" s="724"/>
      <c r="R88" s="724"/>
      <c r="S88" s="724"/>
      <c r="T88" s="724"/>
      <c r="U88" s="724"/>
      <c r="V88" s="724"/>
      <c r="W88" s="724"/>
      <c r="X88" s="724"/>
      <c r="Y88" s="724"/>
      <c r="Z88" s="1459"/>
      <c r="AA88" s="1459"/>
      <c r="AB88" s="1459"/>
      <c r="AC88" s="1459"/>
    </row>
    <row r="89" spans="1:29">
      <c r="A89" s="1459"/>
      <c r="B89" s="1459"/>
      <c r="C89" s="1459"/>
      <c r="D89" s="1459"/>
      <c r="E89" s="1459"/>
      <c r="F89" s="1459"/>
      <c r="G89" s="1459"/>
      <c r="H89" s="1459"/>
      <c r="I89" s="1459"/>
      <c r="J89" s="1459"/>
      <c r="K89" s="724"/>
      <c r="L89" s="724"/>
      <c r="M89" s="724"/>
      <c r="N89" s="724"/>
      <c r="O89" s="724"/>
      <c r="P89" s="724"/>
      <c r="Q89" s="724"/>
      <c r="R89" s="724"/>
      <c r="S89" s="724"/>
      <c r="T89" s="724"/>
      <c r="U89" s="724"/>
      <c r="V89" s="724"/>
      <c r="W89" s="724"/>
      <c r="X89" s="724"/>
      <c r="Y89" s="724"/>
      <c r="Z89" s="1459"/>
      <c r="AA89" s="1459"/>
      <c r="AB89" s="1459"/>
      <c r="AC89" s="1459"/>
    </row>
    <row r="90" spans="1:29">
      <c r="A90" s="1459"/>
      <c r="B90" s="1459"/>
      <c r="C90" s="1459"/>
      <c r="D90" s="1459"/>
      <c r="E90" s="1459"/>
      <c r="F90" s="1459"/>
      <c r="G90" s="1459"/>
      <c r="H90" s="1459"/>
      <c r="I90" s="1459"/>
      <c r="J90" s="1459"/>
      <c r="K90" s="724"/>
      <c r="L90" s="724"/>
      <c r="M90" s="724"/>
      <c r="N90" s="724"/>
      <c r="O90" s="724"/>
      <c r="P90" s="724"/>
      <c r="Q90" s="724"/>
      <c r="R90" s="724"/>
      <c r="S90" s="724"/>
      <c r="T90" s="724"/>
      <c r="U90" s="724"/>
      <c r="V90" s="724"/>
      <c r="W90" s="724"/>
      <c r="X90" s="724"/>
      <c r="Y90" s="724"/>
      <c r="Z90" s="1459"/>
      <c r="AA90" s="1459"/>
      <c r="AB90" s="1459"/>
      <c r="AC90" s="1459"/>
    </row>
    <row r="91" spans="1:29">
      <c r="A91" s="1459"/>
      <c r="B91" s="1459"/>
      <c r="C91" s="1459"/>
      <c r="D91" s="1459"/>
      <c r="E91" s="1459"/>
      <c r="F91" s="1459"/>
      <c r="G91" s="1459"/>
      <c r="H91" s="1459"/>
      <c r="I91" s="1459"/>
      <c r="J91" s="1459"/>
      <c r="K91" s="724"/>
      <c r="L91" s="724"/>
      <c r="M91" s="724"/>
      <c r="N91" s="724"/>
      <c r="O91" s="724"/>
      <c r="P91" s="724"/>
      <c r="Q91" s="724"/>
      <c r="R91" s="724"/>
      <c r="S91" s="724"/>
      <c r="T91" s="724"/>
      <c r="U91" s="724"/>
      <c r="V91" s="724"/>
      <c r="W91" s="724"/>
      <c r="X91" s="724"/>
      <c r="Y91" s="724"/>
      <c r="Z91" s="1459"/>
      <c r="AA91" s="1459"/>
      <c r="AB91" s="1459"/>
      <c r="AC91" s="1459"/>
    </row>
    <row r="92" spans="1:29">
      <c r="A92" s="1459"/>
      <c r="B92" s="1459"/>
      <c r="C92" s="1459"/>
      <c r="D92" s="1459"/>
      <c r="E92" s="1459"/>
      <c r="F92" s="1459"/>
      <c r="G92" s="1459"/>
      <c r="H92" s="1459"/>
      <c r="I92" s="1459"/>
      <c r="J92" s="1459"/>
      <c r="K92" s="724"/>
      <c r="L92" s="724"/>
      <c r="M92" s="724"/>
      <c r="N92" s="724"/>
      <c r="O92" s="724"/>
      <c r="P92" s="724"/>
      <c r="Q92" s="724"/>
      <c r="R92" s="724"/>
      <c r="S92" s="724"/>
      <c r="T92" s="724"/>
      <c r="U92" s="724"/>
      <c r="V92" s="724"/>
      <c r="W92" s="724"/>
      <c r="X92" s="724"/>
      <c r="Y92" s="724"/>
      <c r="Z92" s="1459"/>
      <c r="AA92" s="1459"/>
      <c r="AB92" s="1459"/>
      <c r="AC92" s="1459"/>
    </row>
    <row r="93" spans="1:29">
      <c r="A93" s="1459"/>
      <c r="B93" s="1459"/>
      <c r="C93" s="1459"/>
      <c r="D93" s="1459"/>
      <c r="E93" s="1459"/>
      <c r="F93" s="1459"/>
      <c r="G93" s="1459"/>
      <c r="H93" s="1459"/>
      <c r="I93" s="1459"/>
      <c r="J93" s="1459"/>
      <c r="K93" s="724"/>
      <c r="L93" s="724"/>
      <c r="M93" s="724"/>
      <c r="N93" s="724"/>
      <c r="O93" s="724"/>
      <c r="P93" s="724"/>
      <c r="Q93" s="724"/>
      <c r="R93" s="724"/>
      <c r="S93" s="724"/>
      <c r="T93" s="724"/>
      <c r="U93" s="724"/>
      <c r="V93" s="724"/>
      <c r="W93" s="724"/>
      <c r="X93" s="724"/>
      <c r="Y93" s="724"/>
      <c r="Z93" s="1459"/>
      <c r="AA93" s="1459"/>
      <c r="AB93" s="1459"/>
      <c r="AC93" s="1459"/>
    </row>
    <row r="94" spans="1:29">
      <c r="A94" s="1459"/>
      <c r="B94" s="1459"/>
      <c r="C94" s="1459"/>
      <c r="D94" s="1459"/>
      <c r="E94" s="1459"/>
      <c r="F94" s="1459"/>
      <c r="G94" s="1459"/>
      <c r="H94" s="1459"/>
      <c r="I94" s="1459"/>
      <c r="J94" s="1459"/>
      <c r="K94" s="724"/>
      <c r="L94" s="724"/>
      <c r="M94" s="724"/>
      <c r="N94" s="724"/>
      <c r="O94" s="724"/>
      <c r="P94" s="724"/>
      <c r="Q94" s="724"/>
      <c r="R94" s="724"/>
      <c r="S94" s="724"/>
      <c r="T94" s="724"/>
      <c r="U94" s="724"/>
      <c r="V94" s="724"/>
      <c r="W94" s="724"/>
      <c r="X94" s="724"/>
      <c r="Y94" s="724"/>
      <c r="Z94" s="1459"/>
      <c r="AA94" s="1459"/>
      <c r="AB94" s="1459"/>
      <c r="AC94" s="1459"/>
    </row>
    <row r="95" spans="1:29">
      <c r="A95" s="1459"/>
      <c r="B95" s="1459"/>
      <c r="C95" s="1459"/>
      <c r="D95" s="1459"/>
      <c r="E95" s="1459"/>
      <c r="F95" s="1459"/>
      <c r="G95" s="1459"/>
      <c r="H95" s="1459"/>
      <c r="I95" s="1459"/>
      <c r="J95" s="1459"/>
      <c r="K95" s="724"/>
      <c r="L95" s="724"/>
      <c r="M95" s="724"/>
      <c r="N95" s="724"/>
      <c r="O95" s="724"/>
      <c r="P95" s="724"/>
      <c r="Q95" s="724"/>
      <c r="R95" s="724"/>
      <c r="S95" s="724"/>
      <c r="T95" s="724"/>
      <c r="U95" s="724"/>
      <c r="V95" s="724"/>
      <c r="W95" s="724"/>
      <c r="X95" s="724"/>
      <c r="Y95" s="724"/>
      <c r="Z95" s="1459"/>
      <c r="AA95" s="1459"/>
      <c r="AB95" s="1459"/>
      <c r="AC95" s="1459"/>
    </row>
    <row r="96" spans="1:29">
      <c r="A96" s="1459"/>
      <c r="B96" s="1459"/>
      <c r="C96" s="1459"/>
      <c r="D96" s="1459"/>
      <c r="E96" s="1459"/>
      <c r="F96" s="1459"/>
      <c r="G96" s="1459"/>
      <c r="H96" s="1459"/>
      <c r="I96" s="1459"/>
      <c r="J96" s="1459"/>
      <c r="K96" s="724"/>
      <c r="L96" s="724"/>
      <c r="M96" s="724"/>
      <c r="N96" s="724"/>
      <c r="O96" s="724"/>
      <c r="P96" s="724"/>
      <c r="Q96" s="724"/>
      <c r="R96" s="724"/>
      <c r="S96" s="724"/>
      <c r="T96" s="724"/>
      <c r="U96" s="724"/>
      <c r="V96" s="724"/>
      <c r="W96" s="724"/>
      <c r="X96" s="724"/>
      <c r="Y96" s="724"/>
      <c r="Z96" s="1459"/>
      <c r="AA96" s="1459"/>
      <c r="AB96" s="1459"/>
      <c r="AC96" s="1459"/>
    </row>
    <row r="97" spans="1:29">
      <c r="A97" s="1459"/>
      <c r="B97" s="1459"/>
      <c r="C97" s="1459"/>
      <c r="D97" s="1459"/>
      <c r="E97" s="1459"/>
      <c r="F97" s="1459"/>
      <c r="G97" s="1459"/>
      <c r="H97" s="1459"/>
      <c r="I97" s="1459"/>
      <c r="J97" s="1459"/>
      <c r="K97" s="724"/>
      <c r="L97" s="724"/>
      <c r="M97" s="724"/>
      <c r="N97" s="724"/>
      <c r="O97" s="724"/>
      <c r="P97" s="724"/>
      <c r="Q97" s="724"/>
      <c r="R97" s="724"/>
      <c r="S97" s="724"/>
      <c r="T97" s="724"/>
      <c r="U97" s="724"/>
      <c r="V97" s="724"/>
      <c r="W97" s="724"/>
      <c r="X97" s="724"/>
      <c r="Y97" s="724"/>
      <c r="Z97" s="1459"/>
      <c r="AA97" s="1459"/>
      <c r="AB97" s="1459"/>
      <c r="AC97" s="1459"/>
    </row>
    <row r="98" spans="1:29">
      <c r="A98" s="1459"/>
      <c r="B98" s="1459"/>
      <c r="C98" s="1459"/>
      <c r="D98" s="1459"/>
      <c r="E98" s="1459"/>
      <c r="F98" s="1459"/>
      <c r="G98" s="1459"/>
      <c r="H98" s="1459"/>
      <c r="I98" s="1459"/>
      <c r="J98" s="1459"/>
      <c r="K98" s="724"/>
      <c r="L98" s="724"/>
      <c r="M98" s="724"/>
      <c r="N98" s="724"/>
      <c r="O98" s="724"/>
      <c r="P98" s="724"/>
      <c r="Q98" s="724"/>
      <c r="R98" s="724"/>
      <c r="S98" s="724"/>
      <c r="T98" s="724"/>
      <c r="U98" s="724"/>
      <c r="V98" s="724"/>
      <c r="W98" s="724"/>
      <c r="X98" s="724"/>
      <c r="Y98" s="724"/>
      <c r="Z98" s="1459"/>
      <c r="AA98" s="1459"/>
      <c r="AB98" s="1459"/>
      <c r="AC98" s="1459"/>
    </row>
    <row r="99" spans="1:29">
      <c r="A99" s="1459"/>
      <c r="B99" s="1459"/>
      <c r="C99" s="1459"/>
      <c r="D99" s="1459"/>
      <c r="E99" s="1459"/>
      <c r="F99" s="1459"/>
      <c r="G99" s="1459"/>
      <c r="H99" s="1459"/>
      <c r="I99" s="1459"/>
      <c r="J99" s="1459"/>
      <c r="K99" s="724"/>
      <c r="L99" s="724"/>
      <c r="M99" s="724"/>
      <c r="N99" s="724"/>
      <c r="O99" s="724"/>
      <c r="P99" s="724"/>
      <c r="Q99" s="724"/>
      <c r="R99" s="724"/>
      <c r="S99" s="724"/>
      <c r="T99" s="724"/>
      <c r="U99" s="724"/>
      <c r="V99" s="724"/>
      <c r="W99" s="724"/>
      <c r="X99" s="724"/>
      <c r="Y99" s="724"/>
      <c r="Z99" s="1459"/>
      <c r="AA99" s="1459"/>
      <c r="AB99" s="1459"/>
      <c r="AC99" s="1459"/>
    </row>
    <row r="100" spans="1:29">
      <c r="A100" s="1459"/>
      <c r="B100" s="1459"/>
      <c r="C100" s="1459"/>
      <c r="D100" s="1459"/>
      <c r="E100" s="1459"/>
      <c r="F100" s="1459"/>
      <c r="G100" s="1459"/>
      <c r="H100" s="1459"/>
      <c r="I100" s="1459"/>
      <c r="J100" s="1459"/>
      <c r="K100" s="724"/>
      <c r="L100" s="724"/>
      <c r="M100" s="724"/>
      <c r="N100" s="724"/>
      <c r="O100" s="724"/>
      <c r="P100" s="724"/>
      <c r="Q100" s="724"/>
      <c r="R100" s="724"/>
      <c r="S100" s="724"/>
      <c r="T100" s="724"/>
      <c r="U100" s="724"/>
      <c r="V100" s="724"/>
      <c r="W100" s="724"/>
      <c r="X100" s="724"/>
      <c r="Y100" s="724"/>
      <c r="Z100" s="1459"/>
      <c r="AA100" s="1459"/>
      <c r="AB100" s="1459"/>
      <c r="AC100" s="1459"/>
    </row>
    <row r="101" spans="1:29">
      <c r="A101" s="1459"/>
      <c r="B101" s="1459"/>
      <c r="C101" s="1459"/>
      <c r="D101" s="1459"/>
      <c r="E101" s="1459"/>
      <c r="F101" s="1459"/>
      <c r="G101" s="1459"/>
      <c r="H101" s="1459"/>
      <c r="I101" s="1459"/>
      <c r="J101" s="1459"/>
      <c r="K101" s="724"/>
      <c r="L101" s="724"/>
      <c r="M101" s="724"/>
      <c r="N101" s="724"/>
      <c r="O101" s="724"/>
      <c r="P101" s="724"/>
      <c r="Q101" s="724"/>
      <c r="R101" s="724"/>
      <c r="S101" s="724"/>
      <c r="T101" s="724"/>
      <c r="U101" s="724"/>
      <c r="V101" s="724"/>
      <c r="W101" s="724"/>
      <c r="X101" s="724"/>
      <c r="Y101" s="724"/>
      <c r="Z101" s="1459"/>
      <c r="AA101" s="1459"/>
      <c r="AB101" s="1459"/>
      <c r="AC101" s="1459"/>
    </row>
    <row r="102" spans="1:29">
      <c r="A102" s="1459"/>
      <c r="B102" s="1459"/>
      <c r="C102" s="1459"/>
      <c r="D102" s="1459"/>
      <c r="E102" s="1459"/>
      <c r="F102" s="1459"/>
      <c r="G102" s="1459"/>
      <c r="H102" s="1459"/>
      <c r="I102" s="1459"/>
      <c r="J102" s="1459"/>
      <c r="K102" s="724"/>
      <c r="L102" s="724"/>
      <c r="M102" s="724"/>
      <c r="N102" s="724"/>
      <c r="O102" s="724"/>
      <c r="P102" s="724"/>
      <c r="Q102" s="724"/>
      <c r="R102" s="724"/>
      <c r="S102" s="724"/>
      <c r="T102" s="724"/>
      <c r="U102" s="724"/>
      <c r="V102" s="724"/>
      <c r="W102" s="724"/>
      <c r="X102" s="724"/>
      <c r="Y102" s="724"/>
      <c r="Z102" s="1459"/>
      <c r="AA102" s="1459"/>
      <c r="AB102" s="1459"/>
      <c r="AC102" s="1459"/>
    </row>
    <row r="103" spans="1:29">
      <c r="A103" s="1459"/>
      <c r="B103" s="1459"/>
      <c r="C103" s="1459"/>
      <c r="D103" s="1459"/>
      <c r="E103" s="1459"/>
      <c r="F103" s="1459"/>
      <c r="G103" s="1459"/>
      <c r="H103" s="1459"/>
      <c r="I103" s="1459"/>
      <c r="J103" s="1459"/>
      <c r="K103" s="724"/>
      <c r="L103" s="724"/>
      <c r="M103" s="724"/>
      <c r="N103" s="724"/>
      <c r="O103" s="724"/>
      <c r="P103" s="724"/>
      <c r="Q103" s="724"/>
      <c r="R103" s="724"/>
      <c r="S103" s="724"/>
      <c r="T103" s="724"/>
      <c r="U103" s="724"/>
      <c r="V103" s="724"/>
      <c r="W103" s="724"/>
      <c r="X103" s="724"/>
      <c r="Y103" s="724"/>
      <c r="Z103" s="1459"/>
      <c r="AA103" s="1459"/>
      <c r="AB103" s="1459"/>
      <c r="AC103" s="1459"/>
    </row>
    <row r="104" spans="1:29">
      <c r="A104" s="1459"/>
      <c r="B104" s="1459"/>
      <c r="C104" s="1459"/>
      <c r="D104" s="1459"/>
      <c r="E104" s="1459"/>
      <c r="F104" s="1459"/>
      <c r="G104" s="1459"/>
      <c r="H104" s="1459"/>
      <c r="I104" s="1459"/>
      <c r="J104" s="1459"/>
      <c r="K104" s="724"/>
      <c r="L104" s="724"/>
      <c r="M104" s="724"/>
      <c r="N104" s="724"/>
      <c r="O104" s="724"/>
      <c r="P104" s="724"/>
      <c r="Q104" s="724"/>
      <c r="R104" s="724"/>
      <c r="S104" s="724"/>
      <c r="T104" s="724"/>
      <c r="U104" s="724"/>
      <c r="V104" s="724"/>
      <c r="W104" s="724"/>
      <c r="X104" s="724"/>
      <c r="Y104" s="724"/>
      <c r="Z104" s="1459"/>
      <c r="AA104" s="1459"/>
      <c r="AB104" s="1459"/>
      <c r="AC104" s="1459"/>
    </row>
    <row r="105" spans="1:29">
      <c r="A105" s="1459"/>
      <c r="B105" s="1459"/>
      <c r="C105" s="1459"/>
      <c r="D105" s="1459"/>
      <c r="E105" s="1459"/>
      <c r="F105" s="1459"/>
      <c r="G105" s="1459"/>
      <c r="H105" s="1459"/>
      <c r="I105" s="1459"/>
      <c r="J105" s="1459"/>
      <c r="K105" s="724"/>
      <c r="L105" s="724"/>
      <c r="M105" s="724"/>
      <c r="N105" s="724"/>
      <c r="O105" s="724"/>
      <c r="P105" s="724"/>
      <c r="Q105" s="724"/>
      <c r="R105" s="724"/>
      <c r="S105" s="724"/>
      <c r="T105" s="724"/>
      <c r="U105" s="724"/>
      <c r="V105" s="724"/>
      <c r="W105" s="724"/>
      <c r="X105" s="724"/>
      <c r="Y105" s="724"/>
      <c r="Z105" s="1459"/>
      <c r="AA105" s="1459"/>
      <c r="AB105" s="1459"/>
      <c r="AC105" s="1459"/>
    </row>
    <row r="106" spans="1:29">
      <c r="A106" s="1459"/>
      <c r="B106" s="1459"/>
      <c r="C106" s="1459"/>
      <c r="D106" s="1459"/>
      <c r="E106" s="1459"/>
      <c r="F106" s="1459"/>
      <c r="G106" s="1459"/>
      <c r="H106" s="1459"/>
      <c r="I106" s="1459"/>
      <c r="J106" s="1459"/>
      <c r="K106" s="724"/>
      <c r="L106" s="724"/>
      <c r="M106" s="724"/>
      <c r="N106" s="724"/>
      <c r="O106" s="724"/>
      <c r="P106" s="724"/>
      <c r="Q106" s="724"/>
      <c r="R106" s="724"/>
      <c r="S106" s="724"/>
      <c r="T106" s="724"/>
      <c r="U106" s="724"/>
      <c r="V106" s="724"/>
      <c r="W106" s="724"/>
      <c r="X106" s="724"/>
      <c r="Y106" s="724"/>
      <c r="Z106" s="1459"/>
      <c r="AA106" s="1459"/>
      <c r="AB106" s="1459"/>
      <c r="AC106" s="1459"/>
    </row>
    <row r="107" spans="1:29">
      <c r="A107" s="1459"/>
      <c r="B107" s="1459"/>
      <c r="C107" s="1459"/>
      <c r="D107" s="1459"/>
      <c r="E107" s="1459"/>
      <c r="F107" s="1459"/>
      <c r="G107" s="1459"/>
      <c r="H107" s="1459"/>
      <c r="I107" s="1459"/>
      <c r="J107" s="1459"/>
      <c r="K107" s="724"/>
      <c r="L107" s="724"/>
      <c r="M107" s="724"/>
      <c r="N107" s="724"/>
      <c r="O107" s="724"/>
      <c r="P107" s="724"/>
      <c r="Q107" s="724"/>
      <c r="R107" s="724"/>
      <c r="S107" s="724"/>
      <c r="T107" s="724"/>
      <c r="U107" s="724"/>
      <c r="V107" s="724"/>
      <c r="W107" s="724"/>
      <c r="X107" s="724"/>
      <c r="Y107" s="724"/>
      <c r="Z107" s="1459"/>
      <c r="AA107" s="1459"/>
      <c r="AB107" s="1459"/>
      <c r="AC107" s="1459"/>
    </row>
    <row r="108" spans="1:29">
      <c r="A108" s="1459"/>
      <c r="B108" s="1459"/>
      <c r="C108" s="1459"/>
      <c r="D108" s="1459"/>
      <c r="E108" s="1459"/>
      <c r="F108" s="1459"/>
      <c r="G108" s="1459"/>
      <c r="H108" s="1459"/>
      <c r="I108" s="1459"/>
      <c r="J108" s="1459"/>
      <c r="K108" s="724"/>
      <c r="L108" s="724"/>
      <c r="M108" s="724"/>
      <c r="N108" s="724"/>
      <c r="O108" s="724"/>
      <c r="P108" s="724"/>
      <c r="Q108" s="724"/>
      <c r="R108" s="724"/>
      <c r="S108" s="724"/>
      <c r="T108" s="724"/>
      <c r="U108" s="724"/>
      <c r="V108" s="724"/>
      <c r="W108" s="724"/>
      <c r="X108" s="724"/>
      <c r="Y108" s="724"/>
      <c r="Z108" s="1459"/>
      <c r="AA108" s="1459"/>
      <c r="AB108" s="1459"/>
      <c r="AC108" s="1459"/>
    </row>
    <row r="109" spans="1:29">
      <c r="A109" s="1459"/>
      <c r="B109" s="1459"/>
      <c r="C109" s="1459"/>
      <c r="D109" s="1459"/>
      <c r="E109" s="1459"/>
      <c r="F109" s="1459"/>
      <c r="G109" s="1459"/>
      <c r="H109" s="1459"/>
      <c r="I109" s="1459"/>
      <c r="J109" s="1459"/>
      <c r="K109" s="724"/>
      <c r="L109" s="724"/>
      <c r="M109" s="724"/>
      <c r="N109" s="724"/>
      <c r="O109" s="724"/>
      <c r="P109" s="724"/>
      <c r="Q109" s="724"/>
      <c r="R109" s="724"/>
      <c r="S109" s="724"/>
      <c r="T109" s="724"/>
      <c r="U109" s="724"/>
      <c r="V109" s="724"/>
      <c r="W109" s="724"/>
      <c r="X109" s="724"/>
      <c r="Y109" s="724"/>
      <c r="Z109" s="1459"/>
      <c r="AA109" s="1459"/>
      <c r="AB109" s="1459"/>
      <c r="AC109" s="1459"/>
    </row>
    <row r="110" spans="1:29">
      <c r="A110" s="1459"/>
      <c r="B110" s="1459"/>
      <c r="C110" s="1459"/>
      <c r="D110" s="1459"/>
      <c r="E110" s="1459"/>
      <c r="F110" s="1459"/>
      <c r="G110" s="1459"/>
      <c r="H110" s="1459"/>
      <c r="I110" s="1459"/>
      <c r="J110" s="1459"/>
      <c r="K110" s="724"/>
      <c r="L110" s="724"/>
      <c r="M110" s="724"/>
      <c r="N110" s="724"/>
      <c r="O110" s="724"/>
      <c r="P110" s="724"/>
      <c r="Q110" s="724"/>
      <c r="R110" s="724"/>
      <c r="S110" s="724"/>
      <c r="T110" s="724"/>
      <c r="U110" s="724"/>
      <c r="V110" s="724"/>
      <c r="W110" s="724"/>
      <c r="X110" s="724"/>
      <c r="Y110" s="724"/>
      <c r="Z110" s="1459"/>
      <c r="AA110" s="1459"/>
      <c r="AB110" s="1459"/>
      <c r="AC110" s="1459"/>
    </row>
    <row r="111" spans="1:29">
      <c r="A111" s="1459"/>
      <c r="B111" s="1459"/>
      <c r="C111" s="1459"/>
      <c r="D111" s="1459"/>
      <c r="E111" s="1459"/>
      <c r="F111" s="1459"/>
      <c r="G111" s="1459"/>
      <c r="H111" s="1459"/>
      <c r="I111" s="1459"/>
      <c r="J111" s="1459"/>
      <c r="K111" s="724"/>
      <c r="L111" s="724"/>
      <c r="M111" s="724"/>
      <c r="N111" s="724"/>
      <c r="O111" s="724"/>
      <c r="P111" s="724"/>
      <c r="Q111" s="724"/>
      <c r="R111" s="724"/>
      <c r="S111" s="724"/>
      <c r="T111" s="724"/>
      <c r="U111" s="724"/>
      <c r="V111" s="724"/>
      <c r="W111" s="724"/>
      <c r="X111" s="724"/>
      <c r="Y111" s="724"/>
      <c r="Z111" s="1459"/>
      <c r="AA111" s="1459"/>
      <c r="AB111" s="1459"/>
      <c r="AC111" s="1459"/>
    </row>
    <row r="112" spans="1:29">
      <c r="A112" s="1459"/>
      <c r="B112" s="1459"/>
      <c r="C112" s="1459"/>
      <c r="D112" s="1459"/>
      <c r="E112" s="1459"/>
      <c r="F112" s="1459"/>
      <c r="G112" s="1459"/>
      <c r="H112" s="1459"/>
      <c r="I112" s="1459"/>
      <c r="J112" s="1459"/>
      <c r="K112" s="724"/>
      <c r="L112" s="724"/>
      <c r="M112" s="724"/>
      <c r="N112" s="724"/>
      <c r="O112" s="724"/>
      <c r="P112" s="724"/>
      <c r="Q112" s="724"/>
      <c r="R112" s="724"/>
      <c r="S112" s="724"/>
      <c r="T112" s="724"/>
      <c r="U112" s="724"/>
      <c r="V112" s="724"/>
      <c r="W112" s="724"/>
      <c r="X112" s="724"/>
      <c r="Y112" s="724"/>
      <c r="Z112" s="1459"/>
      <c r="AA112" s="1459"/>
      <c r="AB112" s="1459"/>
      <c r="AC112" s="1459"/>
    </row>
    <row r="113" spans="1:29">
      <c r="A113" s="1459"/>
      <c r="B113" s="1459"/>
      <c r="C113" s="1459"/>
      <c r="D113" s="1459"/>
      <c r="E113" s="1459"/>
      <c r="F113" s="1459"/>
      <c r="G113" s="1459"/>
      <c r="H113" s="1459"/>
      <c r="I113" s="1459"/>
      <c r="J113" s="1459"/>
      <c r="K113" s="724"/>
      <c r="L113" s="724"/>
      <c r="M113" s="724"/>
      <c r="N113" s="724"/>
      <c r="O113" s="724"/>
      <c r="P113" s="724"/>
      <c r="Q113" s="724"/>
      <c r="R113" s="724"/>
      <c r="S113" s="724"/>
      <c r="T113" s="724"/>
      <c r="U113" s="724"/>
      <c r="V113" s="724"/>
      <c r="W113" s="724"/>
      <c r="X113" s="724"/>
      <c r="Y113" s="724"/>
      <c r="Z113" s="1459"/>
      <c r="AA113" s="1459"/>
      <c r="AB113" s="1459"/>
      <c r="AC113" s="1459"/>
    </row>
    <row r="114" spans="1:29">
      <c r="A114" s="1459"/>
      <c r="B114" s="1459"/>
      <c r="C114" s="1459"/>
      <c r="D114" s="1459"/>
      <c r="E114" s="1459"/>
      <c r="F114" s="1459"/>
      <c r="G114" s="1459"/>
      <c r="H114" s="1459"/>
      <c r="I114" s="1459"/>
      <c r="J114" s="1459"/>
      <c r="K114" s="724"/>
      <c r="L114" s="724"/>
      <c r="M114" s="724"/>
      <c r="N114" s="724"/>
      <c r="O114" s="724"/>
      <c r="P114" s="724"/>
      <c r="Q114" s="724"/>
      <c r="R114" s="724"/>
      <c r="S114" s="724"/>
      <c r="T114" s="724"/>
      <c r="U114" s="724"/>
      <c r="V114" s="724"/>
      <c r="W114" s="724"/>
      <c r="X114" s="724"/>
      <c r="Y114" s="724"/>
      <c r="Z114" s="1459"/>
      <c r="AA114" s="1459"/>
      <c r="AB114" s="1459"/>
      <c r="AC114" s="1459"/>
    </row>
    <row r="115" spans="1:29">
      <c r="A115" s="1459"/>
      <c r="B115" s="1459"/>
      <c r="C115" s="1459"/>
      <c r="D115" s="1459"/>
      <c r="E115" s="1459"/>
      <c r="F115" s="1459"/>
      <c r="G115" s="1459"/>
      <c r="H115" s="1459"/>
      <c r="I115" s="1459"/>
      <c r="J115" s="1459"/>
      <c r="K115" s="724"/>
      <c r="L115" s="724"/>
      <c r="M115" s="724"/>
      <c r="N115" s="724"/>
      <c r="O115" s="724"/>
      <c r="P115" s="724"/>
      <c r="Q115" s="724"/>
      <c r="R115" s="724"/>
      <c r="S115" s="724"/>
      <c r="T115" s="724"/>
      <c r="U115" s="724"/>
      <c r="V115" s="724"/>
      <c r="W115" s="724"/>
      <c r="X115" s="724"/>
      <c r="Y115" s="724"/>
      <c r="Z115" s="1459"/>
      <c r="AA115" s="1459"/>
      <c r="AB115" s="1459"/>
      <c r="AC115" s="1459"/>
    </row>
    <row r="116" spans="1:29">
      <c r="A116" s="1459"/>
      <c r="B116" s="1459"/>
      <c r="C116" s="1459"/>
      <c r="D116" s="1459"/>
      <c r="E116" s="1459"/>
      <c r="F116" s="1459"/>
      <c r="G116" s="1459"/>
      <c r="H116" s="1459"/>
      <c r="I116" s="1459"/>
      <c r="J116" s="1459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4"/>
      <c r="X116" s="724"/>
      <c r="Y116" s="724"/>
      <c r="Z116" s="1459"/>
      <c r="AA116" s="1459"/>
      <c r="AB116" s="1459"/>
      <c r="AC116" s="1459"/>
    </row>
    <row r="117" spans="1:29">
      <c r="A117" s="1459"/>
      <c r="B117" s="1459"/>
      <c r="C117" s="1459"/>
      <c r="D117" s="1459"/>
      <c r="E117" s="1459"/>
      <c r="F117" s="1459"/>
      <c r="G117" s="1459"/>
      <c r="H117" s="1459"/>
      <c r="I117" s="1459"/>
      <c r="J117" s="1459"/>
      <c r="K117" s="724"/>
      <c r="L117" s="724"/>
      <c r="M117" s="724"/>
      <c r="N117" s="724"/>
      <c r="O117" s="724"/>
      <c r="P117" s="724"/>
      <c r="Q117" s="724"/>
      <c r="R117" s="724"/>
      <c r="S117" s="724"/>
      <c r="T117" s="724"/>
      <c r="U117" s="724"/>
      <c r="V117" s="724"/>
      <c r="W117" s="724"/>
      <c r="X117" s="724"/>
      <c r="Y117" s="724"/>
      <c r="Z117" s="1459"/>
      <c r="AA117" s="1459"/>
      <c r="AB117" s="1459"/>
      <c r="AC117" s="1459"/>
    </row>
    <row r="118" spans="1:29">
      <c r="A118" s="1459"/>
      <c r="B118" s="1459"/>
      <c r="C118" s="1459"/>
      <c r="D118" s="1459"/>
      <c r="E118" s="1459"/>
      <c r="F118" s="1459"/>
      <c r="G118" s="1459"/>
      <c r="H118" s="1459"/>
      <c r="I118" s="1459"/>
      <c r="J118" s="1459"/>
      <c r="K118" s="724"/>
      <c r="L118" s="724"/>
      <c r="M118" s="724"/>
      <c r="N118" s="724"/>
      <c r="O118" s="724"/>
      <c r="P118" s="724"/>
      <c r="Q118" s="724"/>
      <c r="R118" s="724"/>
      <c r="S118" s="724"/>
      <c r="T118" s="724"/>
      <c r="U118" s="724"/>
      <c r="V118" s="724"/>
      <c r="W118" s="724"/>
      <c r="X118" s="724"/>
      <c r="Y118" s="724"/>
      <c r="Z118" s="1459"/>
      <c r="AA118" s="1459"/>
      <c r="AB118" s="1459"/>
      <c r="AC118" s="1459"/>
    </row>
    <row r="119" spans="1:29">
      <c r="A119" s="1459"/>
      <c r="B119" s="1459"/>
      <c r="C119" s="1459"/>
      <c r="D119" s="1459"/>
      <c r="E119" s="1459"/>
      <c r="F119" s="1459"/>
      <c r="G119" s="1459"/>
      <c r="H119" s="1459"/>
      <c r="I119" s="1459"/>
      <c r="J119" s="1459"/>
      <c r="K119" s="724"/>
      <c r="L119" s="724"/>
      <c r="M119" s="724"/>
      <c r="N119" s="724"/>
      <c r="O119" s="724"/>
      <c r="P119" s="724"/>
      <c r="Q119" s="724"/>
      <c r="R119" s="724"/>
      <c r="S119" s="724"/>
      <c r="T119" s="724"/>
      <c r="U119" s="724"/>
      <c r="V119" s="724"/>
      <c r="W119" s="724"/>
      <c r="X119" s="724"/>
      <c r="Y119" s="724"/>
      <c r="Z119" s="1459"/>
      <c r="AA119" s="1459"/>
      <c r="AB119" s="1459"/>
      <c r="AC119" s="1459"/>
    </row>
    <row r="120" spans="1:29">
      <c r="A120" s="1459"/>
      <c r="B120" s="1459"/>
      <c r="C120" s="1459"/>
      <c r="D120" s="1459"/>
      <c r="E120" s="1459"/>
      <c r="F120" s="1459"/>
      <c r="G120" s="1459"/>
      <c r="H120" s="1459"/>
      <c r="I120" s="1459"/>
      <c r="J120" s="1459"/>
      <c r="K120" s="724"/>
      <c r="L120" s="724"/>
      <c r="M120" s="724"/>
      <c r="N120" s="724"/>
      <c r="O120" s="724"/>
      <c r="P120" s="724"/>
      <c r="Q120" s="724"/>
      <c r="R120" s="724"/>
      <c r="S120" s="724"/>
      <c r="T120" s="724"/>
      <c r="U120" s="724"/>
      <c r="V120" s="724"/>
      <c r="W120" s="724"/>
      <c r="X120" s="724"/>
      <c r="Y120" s="724"/>
      <c r="Z120" s="1459"/>
      <c r="AA120" s="1459"/>
      <c r="AB120" s="1459"/>
      <c r="AC120" s="1459"/>
    </row>
    <row r="121" spans="1:29">
      <c r="A121" s="1459"/>
      <c r="B121" s="1459"/>
      <c r="C121" s="1459"/>
      <c r="D121" s="1459"/>
      <c r="E121" s="1459"/>
      <c r="F121" s="1459"/>
      <c r="G121" s="1459"/>
      <c r="H121" s="1459"/>
      <c r="I121" s="1459"/>
      <c r="J121" s="1459"/>
      <c r="K121" s="724"/>
      <c r="L121" s="724"/>
      <c r="M121" s="724"/>
      <c r="N121" s="724"/>
      <c r="O121" s="724"/>
      <c r="P121" s="724"/>
      <c r="Q121" s="724"/>
      <c r="R121" s="724"/>
      <c r="S121" s="724"/>
      <c r="T121" s="724"/>
      <c r="U121" s="724"/>
      <c r="V121" s="724"/>
      <c r="W121" s="724"/>
      <c r="X121" s="724"/>
      <c r="Y121" s="724"/>
      <c r="Z121" s="1459"/>
      <c r="AA121" s="1459"/>
      <c r="AB121" s="1459"/>
      <c r="AC121" s="1459"/>
    </row>
    <row r="122" spans="1:29">
      <c r="A122" s="1459"/>
      <c r="B122" s="1459"/>
      <c r="C122" s="1459"/>
      <c r="D122" s="1459"/>
      <c r="E122" s="1459"/>
      <c r="F122" s="1459"/>
      <c r="G122" s="1459"/>
      <c r="H122" s="1459"/>
      <c r="I122" s="1459"/>
      <c r="J122" s="1459"/>
      <c r="K122" s="724"/>
      <c r="L122" s="724"/>
      <c r="M122" s="724"/>
      <c r="N122" s="724"/>
      <c r="O122" s="724"/>
      <c r="P122" s="724"/>
      <c r="Q122" s="724"/>
      <c r="R122" s="724"/>
      <c r="S122" s="724"/>
      <c r="T122" s="724"/>
      <c r="U122" s="724"/>
      <c r="V122" s="724"/>
      <c r="W122" s="724"/>
      <c r="X122" s="724"/>
      <c r="Y122" s="724"/>
      <c r="Z122" s="1459"/>
      <c r="AA122" s="1459"/>
      <c r="AB122" s="1459"/>
      <c r="AC122" s="1459"/>
    </row>
    <row r="123" spans="1:29">
      <c r="A123" s="1459"/>
      <c r="B123" s="1459"/>
      <c r="C123" s="1459"/>
      <c r="D123" s="1459"/>
      <c r="E123" s="1459"/>
      <c r="F123" s="1459"/>
      <c r="G123" s="1459"/>
      <c r="H123" s="1459"/>
      <c r="I123" s="1459"/>
      <c r="J123" s="1459"/>
      <c r="K123" s="724"/>
      <c r="L123" s="724"/>
      <c r="M123" s="724"/>
      <c r="N123" s="724"/>
      <c r="O123" s="724"/>
      <c r="P123" s="724"/>
      <c r="Q123" s="724"/>
      <c r="R123" s="724"/>
      <c r="S123" s="724"/>
      <c r="T123" s="724"/>
      <c r="U123" s="724"/>
      <c r="V123" s="724"/>
      <c r="W123" s="724"/>
      <c r="X123" s="724"/>
      <c r="Y123" s="724"/>
      <c r="Z123" s="1459"/>
      <c r="AA123" s="1459"/>
      <c r="AB123" s="1459"/>
      <c r="AC123" s="1459"/>
    </row>
    <row r="124" spans="1:29">
      <c r="A124" s="1459"/>
      <c r="B124" s="1459"/>
      <c r="C124" s="1459"/>
      <c r="D124" s="1459"/>
      <c r="E124" s="1459"/>
      <c r="F124" s="1459"/>
      <c r="G124" s="1459"/>
      <c r="H124" s="1459"/>
      <c r="I124" s="1459"/>
      <c r="J124" s="1459"/>
      <c r="K124" s="724"/>
      <c r="L124" s="724"/>
      <c r="M124" s="724"/>
      <c r="N124" s="724"/>
      <c r="O124" s="724"/>
      <c r="P124" s="724"/>
      <c r="Q124" s="724"/>
      <c r="R124" s="724"/>
      <c r="S124" s="724"/>
      <c r="T124" s="724"/>
      <c r="U124" s="724"/>
      <c r="V124" s="724"/>
      <c r="W124" s="724"/>
      <c r="X124" s="724"/>
      <c r="Y124" s="724"/>
      <c r="Z124" s="1459"/>
      <c r="AA124" s="1459"/>
      <c r="AB124" s="1459"/>
      <c r="AC124" s="1459"/>
    </row>
    <row r="125" spans="1:29">
      <c r="A125" s="1459"/>
      <c r="B125" s="1459"/>
      <c r="C125" s="1459"/>
      <c r="D125" s="1459"/>
      <c r="E125" s="1459"/>
      <c r="F125" s="1459"/>
      <c r="G125" s="1459"/>
      <c r="H125" s="1459"/>
      <c r="I125" s="1459"/>
      <c r="J125" s="1459"/>
      <c r="K125" s="724"/>
      <c r="L125" s="724"/>
      <c r="M125" s="724"/>
      <c r="N125" s="724"/>
      <c r="O125" s="724"/>
      <c r="P125" s="724"/>
      <c r="Q125" s="724"/>
      <c r="R125" s="724"/>
      <c r="S125" s="724"/>
      <c r="T125" s="724"/>
      <c r="U125" s="724"/>
      <c r="V125" s="724"/>
      <c r="W125" s="724"/>
      <c r="X125" s="724"/>
      <c r="Y125" s="724"/>
      <c r="Z125" s="1459"/>
      <c r="AA125" s="1459"/>
      <c r="AB125" s="1459"/>
      <c r="AC125" s="1459"/>
    </row>
    <row r="126" spans="1:29">
      <c r="A126" s="1459"/>
      <c r="B126" s="1459"/>
      <c r="C126" s="1459"/>
      <c r="D126" s="1459"/>
      <c r="E126" s="1459"/>
      <c r="F126" s="1459"/>
      <c r="G126" s="1459"/>
      <c r="H126" s="1459"/>
      <c r="I126" s="1459"/>
      <c r="J126" s="1459"/>
      <c r="K126" s="724"/>
      <c r="L126" s="724"/>
      <c r="M126" s="724"/>
      <c r="N126" s="724"/>
      <c r="O126" s="724"/>
      <c r="P126" s="724"/>
      <c r="Q126" s="724"/>
      <c r="R126" s="724"/>
      <c r="S126" s="724"/>
      <c r="T126" s="724"/>
      <c r="U126" s="724"/>
      <c r="V126" s="724"/>
      <c r="W126" s="724"/>
      <c r="X126" s="724"/>
      <c r="Y126" s="724"/>
      <c r="Z126" s="1459"/>
      <c r="AA126" s="1459"/>
      <c r="AB126" s="1459"/>
      <c r="AC126" s="1459"/>
    </row>
    <row r="127" spans="1:29">
      <c r="A127" s="1459"/>
      <c r="B127" s="1459"/>
      <c r="C127" s="1459"/>
      <c r="D127" s="1459"/>
      <c r="E127" s="1459"/>
      <c r="F127" s="1459"/>
      <c r="G127" s="1459"/>
      <c r="H127" s="1459"/>
      <c r="I127" s="1459"/>
      <c r="J127" s="1459"/>
      <c r="K127" s="724"/>
      <c r="L127" s="724"/>
      <c r="M127" s="724"/>
      <c r="N127" s="724"/>
      <c r="O127" s="724"/>
      <c r="P127" s="724"/>
      <c r="Q127" s="724"/>
      <c r="R127" s="724"/>
      <c r="S127" s="724"/>
      <c r="T127" s="724"/>
      <c r="U127" s="724"/>
      <c r="V127" s="724"/>
      <c r="W127" s="724"/>
      <c r="X127" s="724"/>
      <c r="Y127" s="724"/>
      <c r="Z127" s="1459"/>
      <c r="AA127" s="1459"/>
      <c r="AB127" s="1459"/>
      <c r="AC127" s="1459"/>
    </row>
    <row r="128" spans="1:29">
      <c r="A128" s="1459"/>
      <c r="B128" s="1459"/>
      <c r="C128" s="1459"/>
      <c r="D128" s="1459"/>
      <c r="E128" s="1459"/>
      <c r="F128" s="1459"/>
      <c r="G128" s="1459"/>
      <c r="H128" s="1459"/>
      <c r="I128" s="1459"/>
      <c r="J128" s="1459"/>
      <c r="K128" s="724"/>
      <c r="L128" s="724"/>
      <c r="M128" s="724"/>
      <c r="N128" s="724"/>
      <c r="O128" s="724"/>
      <c r="P128" s="724"/>
      <c r="Q128" s="724"/>
      <c r="R128" s="724"/>
      <c r="S128" s="724"/>
      <c r="T128" s="724"/>
      <c r="U128" s="724"/>
      <c r="V128" s="724"/>
      <c r="W128" s="724"/>
      <c r="X128" s="724"/>
      <c r="Y128" s="724"/>
      <c r="Z128" s="1459"/>
      <c r="AA128" s="1459"/>
      <c r="AB128" s="1459"/>
      <c r="AC128" s="1459"/>
    </row>
    <row r="129" spans="1:29">
      <c r="A129" s="1459"/>
      <c r="B129" s="1459"/>
      <c r="C129" s="1459"/>
      <c r="D129" s="1459"/>
      <c r="E129" s="1459"/>
      <c r="F129" s="1459"/>
      <c r="G129" s="1459"/>
      <c r="H129" s="1459"/>
      <c r="I129" s="1459"/>
      <c r="J129" s="1459"/>
      <c r="K129" s="724"/>
      <c r="L129" s="724"/>
      <c r="M129" s="724"/>
      <c r="N129" s="724"/>
      <c r="O129" s="724"/>
      <c r="P129" s="724"/>
      <c r="Q129" s="724"/>
      <c r="R129" s="724"/>
      <c r="S129" s="724"/>
      <c r="T129" s="724"/>
      <c r="U129" s="724"/>
      <c r="V129" s="724"/>
      <c r="W129" s="724"/>
      <c r="X129" s="724"/>
      <c r="Y129" s="724"/>
      <c r="Z129" s="1459"/>
      <c r="AA129" s="1459"/>
      <c r="AB129" s="1459"/>
      <c r="AC129" s="1459"/>
    </row>
    <row r="130" spans="1:29">
      <c r="A130" s="1459"/>
      <c r="B130" s="1459"/>
      <c r="C130" s="1459"/>
      <c r="D130" s="1459"/>
      <c r="E130" s="1459"/>
      <c r="F130" s="1459"/>
      <c r="G130" s="1459"/>
      <c r="H130" s="1459"/>
      <c r="I130" s="1459"/>
      <c r="J130" s="1459"/>
      <c r="K130" s="724"/>
      <c r="L130" s="724"/>
      <c r="M130" s="724"/>
      <c r="N130" s="724"/>
      <c r="O130" s="724"/>
      <c r="P130" s="724"/>
      <c r="Q130" s="724"/>
      <c r="R130" s="724"/>
      <c r="S130" s="724"/>
      <c r="T130" s="724"/>
      <c r="U130" s="724"/>
      <c r="V130" s="724"/>
      <c r="W130" s="724"/>
      <c r="X130" s="724"/>
      <c r="Y130" s="724"/>
      <c r="Z130" s="1459"/>
      <c r="AA130" s="1459"/>
      <c r="AB130" s="1459"/>
      <c r="AC130" s="1459"/>
    </row>
    <row r="131" spans="1:29">
      <c r="A131" s="1459"/>
      <c r="B131" s="1459"/>
      <c r="C131" s="1459"/>
      <c r="D131" s="1459"/>
      <c r="E131" s="1459"/>
      <c r="F131" s="1459"/>
      <c r="G131" s="1459"/>
      <c r="H131" s="1459"/>
      <c r="I131" s="1459"/>
      <c r="J131" s="1459"/>
      <c r="K131" s="724"/>
      <c r="L131" s="724"/>
      <c r="M131" s="724"/>
      <c r="N131" s="724"/>
      <c r="O131" s="724"/>
      <c r="P131" s="724"/>
      <c r="Q131" s="724"/>
      <c r="R131" s="724"/>
      <c r="S131" s="724"/>
      <c r="T131" s="724"/>
      <c r="U131" s="724"/>
      <c r="V131" s="724"/>
      <c r="W131" s="724"/>
      <c r="X131" s="724"/>
      <c r="Y131" s="724"/>
      <c r="Z131" s="1459"/>
      <c r="AA131" s="1459"/>
      <c r="AB131" s="1459"/>
      <c r="AC131" s="1459"/>
    </row>
    <row r="132" spans="1:29">
      <c r="A132" s="1459"/>
      <c r="B132" s="1459"/>
      <c r="C132" s="1459"/>
      <c r="D132" s="1459"/>
      <c r="E132" s="1459"/>
      <c r="F132" s="1459"/>
      <c r="G132" s="1459"/>
      <c r="H132" s="1459"/>
      <c r="I132" s="1459"/>
      <c r="J132" s="1459"/>
      <c r="K132" s="724"/>
      <c r="L132" s="724"/>
      <c r="M132" s="724"/>
      <c r="N132" s="724"/>
      <c r="O132" s="724"/>
      <c r="P132" s="724"/>
      <c r="Q132" s="724"/>
      <c r="R132" s="724"/>
      <c r="S132" s="724"/>
      <c r="T132" s="724"/>
      <c r="U132" s="724"/>
      <c r="V132" s="724"/>
      <c r="W132" s="724"/>
      <c r="X132" s="724"/>
      <c r="Y132" s="724"/>
      <c r="Z132" s="1459"/>
      <c r="AA132" s="1459"/>
      <c r="AB132" s="1459"/>
      <c r="AC132" s="1459"/>
    </row>
    <row r="133" spans="1:29">
      <c r="A133" s="1459"/>
      <c r="B133" s="1459"/>
      <c r="C133" s="1459"/>
      <c r="D133" s="1459"/>
      <c r="E133" s="1459"/>
      <c r="F133" s="1459"/>
      <c r="G133" s="1459"/>
      <c r="H133" s="1459"/>
      <c r="I133" s="1459"/>
      <c r="J133" s="1459"/>
      <c r="K133" s="724"/>
      <c r="L133" s="724"/>
      <c r="M133" s="724"/>
      <c r="N133" s="724"/>
      <c r="O133" s="724"/>
      <c r="P133" s="724"/>
      <c r="Q133" s="724"/>
      <c r="R133" s="724"/>
      <c r="S133" s="724"/>
      <c r="T133" s="724"/>
      <c r="U133" s="724"/>
      <c r="V133" s="724"/>
      <c r="W133" s="724"/>
      <c r="X133" s="724"/>
      <c r="Y133" s="724"/>
      <c r="Z133" s="1459"/>
      <c r="AA133" s="1459"/>
      <c r="AB133" s="1459"/>
      <c r="AC133" s="1459"/>
    </row>
    <row r="134" spans="1:29">
      <c r="A134" s="1459"/>
      <c r="B134" s="1459"/>
      <c r="C134" s="1459"/>
      <c r="D134" s="1459"/>
      <c r="E134" s="1459"/>
      <c r="F134" s="1459"/>
      <c r="G134" s="1459"/>
      <c r="H134" s="1459"/>
      <c r="I134" s="1459"/>
      <c r="J134" s="1459"/>
      <c r="K134" s="724"/>
      <c r="L134" s="724"/>
      <c r="M134" s="724"/>
      <c r="N134" s="724"/>
      <c r="O134" s="724"/>
      <c r="P134" s="724"/>
      <c r="Q134" s="724"/>
      <c r="R134" s="724"/>
      <c r="S134" s="724"/>
      <c r="T134" s="724"/>
      <c r="U134" s="724"/>
      <c r="V134" s="724"/>
      <c r="W134" s="724"/>
      <c r="X134" s="724"/>
      <c r="Y134" s="724"/>
      <c r="Z134" s="1459"/>
      <c r="AA134" s="1459"/>
      <c r="AB134" s="1459"/>
      <c r="AC134" s="1459"/>
    </row>
    <row r="135" spans="1:29">
      <c r="A135" s="1459"/>
      <c r="B135" s="1459"/>
      <c r="C135" s="1459"/>
      <c r="D135" s="1459"/>
      <c r="E135" s="1459"/>
      <c r="F135" s="1459"/>
      <c r="G135" s="1459"/>
      <c r="H135" s="1459"/>
      <c r="I135" s="1459"/>
      <c r="J135" s="1459"/>
      <c r="K135" s="724"/>
      <c r="L135" s="724"/>
      <c r="M135" s="724"/>
      <c r="N135" s="724"/>
      <c r="O135" s="724"/>
      <c r="P135" s="724"/>
      <c r="Q135" s="724"/>
      <c r="R135" s="724"/>
      <c r="S135" s="724"/>
      <c r="T135" s="724"/>
      <c r="U135" s="724"/>
      <c r="V135" s="724"/>
      <c r="W135" s="724"/>
      <c r="X135" s="724"/>
      <c r="Y135" s="724"/>
      <c r="Z135" s="1459"/>
      <c r="AA135" s="1459"/>
      <c r="AB135" s="1459"/>
      <c r="AC135" s="1459"/>
    </row>
    <row r="136" spans="1:29">
      <c r="A136" s="1459"/>
      <c r="B136" s="1459"/>
      <c r="C136" s="1459"/>
      <c r="D136" s="1459"/>
      <c r="E136" s="1459"/>
      <c r="F136" s="1459"/>
      <c r="G136" s="1459"/>
      <c r="H136" s="1459"/>
      <c r="I136" s="1459"/>
      <c r="J136" s="1459"/>
      <c r="K136" s="724"/>
      <c r="L136" s="724"/>
      <c r="M136" s="724"/>
      <c r="N136" s="724"/>
      <c r="O136" s="724"/>
      <c r="P136" s="724"/>
      <c r="Q136" s="724"/>
      <c r="R136" s="724"/>
      <c r="S136" s="724"/>
      <c r="T136" s="724"/>
      <c r="U136" s="724"/>
      <c r="V136" s="724"/>
      <c r="W136" s="724"/>
      <c r="X136" s="724"/>
      <c r="Y136" s="724"/>
      <c r="Z136" s="1459"/>
      <c r="AA136" s="1459"/>
      <c r="AB136" s="1459"/>
      <c r="AC136" s="1459"/>
    </row>
    <row r="137" spans="1:29">
      <c r="A137" s="1459"/>
      <c r="B137" s="1459"/>
      <c r="C137" s="1459"/>
      <c r="D137" s="1459"/>
      <c r="E137" s="1459"/>
      <c r="F137" s="1459"/>
      <c r="G137" s="1459"/>
      <c r="H137" s="1459"/>
      <c r="I137" s="1459"/>
      <c r="J137" s="1459"/>
      <c r="K137" s="724"/>
      <c r="L137" s="724"/>
      <c r="M137" s="724"/>
      <c r="N137" s="724"/>
      <c r="O137" s="724"/>
      <c r="P137" s="724"/>
      <c r="Q137" s="724"/>
      <c r="R137" s="724"/>
      <c r="S137" s="724"/>
      <c r="T137" s="724"/>
      <c r="U137" s="724"/>
      <c r="V137" s="724"/>
      <c r="W137" s="724"/>
      <c r="X137" s="724"/>
      <c r="Y137" s="724"/>
      <c r="Z137" s="1459"/>
      <c r="AA137" s="1459"/>
      <c r="AB137" s="1459"/>
      <c r="AC137" s="1459"/>
    </row>
    <row r="138" spans="1:29">
      <c r="A138" s="1459"/>
      <c r="B138" s="1459"/>
      <c r="C138" s="1459"/>
      <c r="D138" s="1459"/>
      <c r="E138" s="1459"/>
      <c r="F138" s="1459"/>
      <c r="G138" s="1459"/>
      <c r="H138" s="1459"/>
      <c r="I138" s="1459"/>
      <c r="J138" s="1459"/>
      <c r="K138" s="724"/>
      <c r="L138" s="724"/>
      <c r="M138" s="724"/>
      <c r="N138" s="724"/>
      <c r="O138" s="724"/>
      <c r="P138" s="724"/>
      <c r="Q138" s="724"/>
      <c r="R138" s="724"/>
      <c r="S138" s="724"/>
      <c r="T138" s="724"/>
      <c r="U138" s="724"/>
      <c r="V138" s="724"/>
      <c r="W138" s="724"/>
      <c r="X138" s="724"/>
      <c r="Y138" s="724"/>
      <c r="Z138" s="1459"/>
      <c r="AA138" s="1459"/>
      <c r="AB138" s="1459"/>
      <c r="AC138" s="1459"/>
    </row>
    <row r="139" spans="1:29">
      <c r="A139" s="1459"/>
      <c r="B139" s="1459"/>
      <c r="C139" s="1459"/>
      <c r="D139" s="1459"/>
      <c r="E139" s="1459"/>
      <c r="F139" s="1459"/>
      <c r="G139" s="1459"/>
      <c r="H139" s="1459"/>
      <c r="I139" s="1459"/>
      <c r="J139" s="1459"/>
      <c r="K139" s="724"/>
      <c r="L139" s="724"/>
      <c r="M139" s="724"/>
      <c r="N139" s="724"/>
      <c r="O139" s="724"/>
      <c r="P139" s="724"/>
      <c r="Q139" s="724"/>
      <c r="R139" s="724"/>
      <c r="S139" s="724"/>
      <c r="T139" s="724"/>
      <c r="U139" s="724"/>
      <c r="V139" s="724"/>
      <c r="W139" s="724"/>
      <c r="X139" s="724"/>
      <c r="Y139" s="724"/>
      <c r="Z139" s="1459"/>
      <c r="AA139" s="1459"/>
      <c r="AB139" s="1459"/>
      <c r="AC139" s="1459"/>
    </row>
    <row r="140" spans="1:29">
      <c r="A140" s="1459"/>
      <c r="B140" s="1459"/>
      <c r="C140" s="1459"/>
      <c r="D140" s="1459"/>
      <c r="E140" s="1459"/>
      <c r="F140" s="1459"/>
      <c r="G140" s="1459"/>
      <c r="H140" s="1459"/>
      <c r="I140" s="1459"/>
      <c r="J140" s="1459"/>
      <c r="K140" s="724"/>
      <c r="L140" s="724"/>
      <c r="M140" s="724"/>
      <c r="N140" s="724"/>
      <c r="O140" s="724"/>
      <c r="P140" s="724"/>
      <c r="Q140" s="724"/>
      <c r="R140" s="724"/>
      <c r="S140" s="724"/>
      <c r="T140" s="724"/>
      <c r="U140" s="724"/>
      <c r="V140" s="724"/>
      <c r="W140" s="724"/>
      <c r="X140" s="724"/>
      <c r="Y140" s="724"/>
      <c r="Z140" s="1459"/>
      <c r="AA140" s="1459"/>
      <c r="AB140" s="1459"/>
      <c r="AC140" s="1459"/>
    </row>
    <row r="141" spans="1:29">
      <c r="A141" s="1459"/>
      <c r="B141" s="1459"/>
      <c r="C141" s="1459"/>
      <c r="D141" s="1459"/>
      <c r="E141" s="1459"/>
      <c r="F141" s="1459"/>
      <c r="G141" s="1459"/>
      <c r="H141" s="1459"/>
      <c r="I141" s="1459"/>
      <c r="J141" s="1459"/>
      <c r="K141" s="724"/>
      <c r="L141" s="724"/>
      <c r="M141" s="724"/>
      <c r="N141" s="724"/>
      <c r="O141" s="724"/>
      <c r="P141" s="724"/>
      <c r="Q141" s="724"/>
      <c r="R141" s="724"/>
      <c r="S141" s="724"/>
      <c r="T141" s="724"/>
      <c r="U141" s="724"/>
      <c r="V141" s="724"/>
      <c r="W141" s="724"/>
      <c r="X141" s="724"/>
      <c r="Y141" s="724"/>
      <c r="Z141" s="1459"/>
      <c r="AA141" s="1459"/>
      <c r="AB141" s="1459"/>
      <c r="AC141" s="1459"/>
    </row>
    <row r="142" spans="1:29">
      <c r="A142" s="1459"/>
      <c r="B142" s="1459"/>
      <c r="C142" s="1459"/>
      <c r="D142" s="1459"/>
      <c r="E142" s="1459"/>
      <c r="F142" s="1459"/>
      <c r="G142" s="1459"/>
      <c r="H142" s="1459"/>
      <c r="I142" s="1459"/>
      <c r="J142" s="1459"/>
      <c r="K142" s="724"/>
      <c r="L142" s="724"/>
      <c r="M142" s="724"/>
      <c r="N142" s="724"/>
      <c r="O142" s="724"/>
      <c r="P142" s="724"/>
      <c r="Q142" s="724"/>
      <c r="R142" s="724"/>
      <c r="S142" s="724"/>
      <c r="T142" s="724"/>
      <c r="U142" s="724"/>
      <c r="V142" s="724"/>
      <c r="W142" s="724"/>
      <c r="X142" s="724"/>
      <c r="Y142" s="724"/>
      <c r="Z142" s="1459"/>
      <c r="AA142" s="1459"/>
      <c r="AB142" s="1459"/>
      <c r="AC142" s="1459"/>
    </row>
    <row r="143" spans="1:29">
      <c r="A143" s="1459"/>
      <c r="B143" s="1459"/>
      <c r="C143" s="1459"/>
      <c r="D143" s="1459"/>
      <c r="E143" s="1459"/>
      <c r="F143" s="1459"/>
      <c r="G143" s="1459"/>
      <c r="H143" s="1459"/>
      <c r="I143" s="1459"/>
      <c r="J143" s="1459"/>
      <c r="K143" s="724"/>
      <c r="L143" s="724"/>
      <c r="M143" s="724"/>
      <c r="N143" s="724"/>
      <c r="O143" s="724"/>
      <c r="P143" s="724"/>
      <c r="Q143" s="724"/>
      <c r="R143" s="724"/>
      <c r="S143" s="724"/>
      <c r="T143" s="724"/>
      <c r="U143" s="724"/>
      <c r="V143" s="724"/>
      <c r="W143" s="724"/>
      <c r="X143" s="724"/>
      <c r="Y143" s="724"/>
      <c r="Z143" s="1459"/>
      <c r="AA143" s="1459"/>
      <c r="AB143" s="1459"/>
      <c r="AC143" s="1459"/>
    </row>
    <row r="144" spans="1:29">
      <c r="A144" s="1459"/>
      <c r="B144" s="1459"/>
      <c r="C144" s="1459"/>
      <c r="D144" s="1459"/>
      <c r="E144" s="1459"/>
      <c r="F144" s="1459"/>
      <c r="G144" s="1459"/>
      <c r="H144" s="1459"/>
      <c r="I144" s="1459"/>
      <c r="J144" s="1459"/>
      <c r="K144" s="724"/>
      <c r="L144" s="724"/>
      <c r="M144" s="724"/>
      <c r="N144" s="724"/>
      <c r="O144" s="724"/>
      <c r="P144" s="724"/>
      <c r="Q144" s="724"/>
      <c r="R144" s="724"/>
      <c r="S144" s="724"/>
      <c r="T144" s="724"/>
      <c r="U144" s="724"/>
      <c r="V144" s="724"/>
      <c r="W144" s="724"/>
      <c r="X144" s="724"/>
      <c r="Y144" s="724"/>
      <c r="Z144" s="1459"/>
      <c r="AA144" s="1459"/>
      <c r="AB144" s="1459"/>
      <c r="AC144" s="1459"/>
    </row>
    <row r="145" spans="1:29">
      <c r="A145" s="1459"/>
      <c r="B145" s="1459"/>
      <c r="C145" s="1459"/>
      <c r="D145" s="1459"/>
      <c r="E145" s="1459"/>
      <c r="F145" s="1459"/>
      <c r="G145" s="1459"/>
      <c r="H145" s="1459"/>
      <c r="I145" s="1459"/>
      <c r="J145" s="1459"/>
      <c r="K145" s="724"/>
      <c r="L145" s="724"/>
      <c r="M145" s="724"/>
      <c r="N145" s="724"/>
      <c r="O145" s="724"/>
      <c r="P145" s="724"/>
      <c r="Q145" s="724"/>
      <c r="R145" s="724"/>
      <c r="S145" s="724"/>
      <c r="T145" s="724"/>
      <c r="U145" s="724"/>
      <c r="V145" s="724"/>
      <c r="W145" s="724"/>
      <c r="X145" s="724"/>
      <c r="Y145" s="724"/>
      <c r="Z145" s="1459"/>
      <c r="AA145" s="1459"/>
      <c r="AB145" s="1459"/>
      <c r="AC145" s="1459"/>
    </row>
    <row r="146" spans="1:29">
      <c r="A146" s="1459"/>
      <c r="B146" s="1459"/>
      <c r="C146" s="1459"/>
      <c r="D146" s="1459"/>
      <c r="E146" s="1459"/>
      <c r="F146" s="1459"/>
      <c r="G146" s="1459"/>
      <c r="H146" s="1459"/>
      <c r="I146" s="1459"/>
      <c r="J146" s="1459"/>
      <c r="K146" s="724"/>
      <c r="L146" s="724"/>
      <c r="M146" s="724"/>
      <c r="N146" s="724"/>
      <c r="O146" s="724"/>
      <c r="P146" s="724"/>
      <c r="Q146" s="724"/>
      <c r="R146" s="724"/>
      <c r="S146" s="724"/>
      <c r="T146" s="724"/>
      <c r="U146" s="724"/>
      <c r="V146" s="724"/>
      <c r="W146" s="724"/>
      <c r="X146" s="724"/>
      <c r="Y146" s="724"/>
      <c r="Z146" s="1459"/>
      <c r="AA146" s="1459"/>
      <c r="AB146" s="1459"/>
      <c r="AC146" s="1459"/>
    </row>
    <row r="147" spans="1:29">
      <c r="A147" s="1459"/>
      <c r="B147" s="1459"/>
      <c r="C147" s="1459"/>
      <c r="D147" s="1459"/>
      <c r="E147" s="1459"/>
      <c r="F147" s="1459"/>
      <c r="G147" s="1459"/>
      <c r="H147" s="1459"/>
      <c r="I147" s="1459"/>
      <c r="J147" s="1459"/>
      <c r="K147" s="724"/>
      <c r="L147" s="724"/>
      <c r="M147" s="724"/>
      <c r="N147" s="724"/>
      <c r="O147" s="724"/>
      <c r="P147" s="724"/>
      <c r="Q147" s="724"/>
      <c r="R147" s="724"/>
      <c r="S147" s="724"/>
      <c r="T147" s="724"/>
      <c r="U147" s="724"/>
      <c r="V147" s="724"/>
      <c r="W147" s="724"/>
      <c r="X147" s="724"/>
      <c r="Y147" s="724"/>
      <c r="Z147" s="1459"/>
      <c r="AA147" s="1459"/>
      <c r="AB147" s="1459"/>
      <c r="AC147" s="1459"/>
    </row>
    <row r="148" spans="1:29">
      <c r="K148" s="724"/>
      <c r="L148" s="724"/>
      <c r="M148" s="724"/>
      <c r="N148" s="724"/>
      <c r="O148" s="724"/>
      <c r="P148" s="724"/>
      <c r="Q148" s="724"/>
      <c r="R148" s="724"/>
      <c r="S148" s="724"/>
      <c r="T148" s="724"/>
      <c r="U148" s="724"/>
      <c r="V148" s="724"/>
      <c r="W148" s="724"/>
      <c r="X148" s="724"/>
      <c r="Y148" s="724"/>
    </row>
    <row r="149" spans="1:29">
      <c r="K149" s="724"/>
      <c r="L149" s="724"/>
      <c r="M149" s="724"/>
      <c r="N149" s="724"/>
      <c r="O149" s="724"/>
      <c r="P149" s="724"/>
      <c r="Q149" s="724"/>
      <c r="R149" s="724"/>
      <c r="S149" s="724"/>
      <c r="T149" s="724"/>
      <c r="U149" s="724"/>
      <c r="V149" s="724"/>
      <c r="W149" s="724"/>
      <c r="X149" s="724"/>
      <c r="Y149" s="724"/>
    </row>
    <row r="150" spans="1:29">
      <c r="K150" s="724"/>
      <c r="L150" s="724"/>
      <c r="M150" s="724"/>
      <c r="N150" s="724"/>
      <c r="O150" s="724"/>
      <c r="P150" s="724"/>
      <c r="Q150" s="724"/>
      <c r="R150" s="724"/>
      <c r="S150" s="724"/>
      <c r="T150" s="724"/>
      <c r="U150" s="724"/>
      <c r="V150" s="724"/>
      <c r="W150" s="724"/>
      <c r="X150" s="724"/>
      <c r="Y150" s="724"/>
    </row>
    <row r="151" spans="1:29">
      <c r="K151" s="724"/>
      <c r="L151" s="724"/>
      <c r="M151" s="724"/>
      <c r="N151" s="724"/>
      <c r="O151" s="724"/>
      <c r="P151" s="724"/>
      <c r="Q151" s="724"/>
      <c r="R151" s="724"/>
      <c r="S151" s="724"/>
      <c r="T151" s="724"/>
      <c r="U151" s="724"/>
      <c r="V151" s="724"/>
      <c r="W151" s="724"/>
      <c r="X151" s="724"/>
      <c r="Y151" s="724"/>
    </row>
    <row r="152" spans="1:29">
      <c r="K152" s="724"/>
      <c r="L152" s="724"/>
      <c r="M152" s="724"/>
      <c r="N152" s="724"/>
      <c r="O152" s="724"/>
      <c r="P152" s="724"/>
      <c r="Q152" s="724"/>
      <c r="R152" s="724"/>
      <c r="S152" s="724"/>
      <c r="T152" s="724"/>
      <c r="U152" s="724"/>
      <c r="V152" s="724"/>
      <c r="W152" s="724"/>
      <c r="X152" s="724"/>
      <c r="Y152" s="724"/>
    </row>
    <row r="153" spans="1:29">
      <c r="K153" s="724"/>
      <c r="L153" s="724"/>
      <c r="M153" s="724"/>
      <c r="N153" s="724"/>
      <c r="O153" s="724"/>
      <c r="P153" s="724"/>
      <c r="Q153" s="724"/>
      <c r="R153" s="724"/>
      <c r="S153" s="724"/>
      <c r="T153" s="724"/>
      <c r="U153" s="724"/>
      <c r="V153" s="724"/>
      <c r="W153" s="724"/>
      <c r="X153" s="724"/>
      <c r="Y153" s="724"/>
    </row>
    <row r="154" spans="1:29">
      <c r="K154" s="724"/>
      <c r="L154" s="724"/>
      <c r="M154" s="724"/>
      <c r="N154" s="724"/>
      <c r="O154" s="724"/>
      <c r="P154" s="724"/>
      <c r="Q154" s="724"/>
      <c r="R154" s="724"/>
      <c r="S154" s="724"/>
      <c r="T154" s="724"/>
      <c r="U154" s="724"/>
      <c r="V154" s="724"/>
      <c r="W154" s="724"/>
      <c r="X154" s="724"/>
      <c r="Y154" s="724"/>
    </row>
    <row r="155" spans="1:29">
      <c r="K155" s="724"/>
      <c r="L155" s="724"/>
      <c r="M155" s="724"/>
      <c r="N155" s="724"/>
      <c r="O155" s="724"/>
      <c r="P155" s="724"/>
      <c r="Q155" s="724"/>
      <c r="R155" s="724"/>
      <c r="S155" s="724"/>
      <c r="T155" s="724"/>
      <c r="U155" s="724"/>
      <c r="V155" s="724"/>
      <c r="W155" s="724"/>
      <c r="X155" s="724"/>
      <c r="Y155" s="724"/>
    </row>
  </sheetData>
  <sheetProtection password="CF4C" sheet="1" objects="1" scenarios="1"/>
  <sortState ref="I4:J35">
    <sortCondition descending="1" ref="J4:J35"/>
  </sortState>
  <mergeCells count="3">
    <mergeCell ref="A45:G45"/>
    <mergeCell ref="A2:F2"/>
    <mergeCell ref="G2:J2"/>
  </mergeCells>
  <printOptions horizontalCentered="1" verticalCentered="1"/>
  <pageMargins left="0.19685039370078741" right="0.19685039370078741" top="0.59055118110236227" bottom="0.39370078740157483" header="0" footer="0"/>
  <pageSetup paperSize="119" scale="75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2" enableFormatConditionsCalculation="0">
    <tabColor theme="4" tint="-0.249977111117893"/>
    <pageSetUpPr fitToPage="1"/>
  </sheetPr>
  <dimension ref="A1:L49"/>
  <sheetViews>
    <sheetView showGridLines="0" workbookViewId="0">
      <selection activeCell="L10" sqref="L10"/>
    </sheetView>
  </sheetViews>
  <sheetFormatPr baseColWidth="10" defaultRowHeight="12.75"/>
  <cols>
    <col min="1" max="1" width="1.7109375" customWidth="1"/>
    <col min="2" max="3" width="16.7109375" customWidth="1"/>
    <col min="4" max="4" width="14" bestFit="1" customWidth="1"/>
    <col min="5" max="5" width="12.7109375" customWidth="1"/>
    <col min="6" max="6" width="14" bestFit="1" customWidth="1"/>
    <col min="7" max="7" width="13.7109375" customWidth="1"/>
    <col min="8" max="8" width="1.7109375" customWidth="1"/>
    <col min="10" max="12" width="7.85546875" customWidth="1"/>
  </cols>
  <sheetData>
    <row r="1" spans="1:12" s="46" customFormat="1" ht="12" customHeight="1">
      <c r="A1" s="261"/>
      <c r="B1" s="259"/>
      <c r="C1" s="260"/>
      <c r="D1" s="260"/>
      <c r="E1" s="260"/>
      <c r="F1" s="260"/>
      <c r="G1" s="260"/>
      <c r="H1" s="261"/>
    </row>
    <row r="2" spans="1:12" ht="18.75" customHeight="1" thickBot="1">
      <c r="A2" s="263"/>
      <c r="B2" s="1165" t="s">
        <v>567</v>
      </c>
      <c r="C2" s="1165"/>
      <c r="D2" s="1165"/>
      <c r="E2" s="1165"/>
      <c r="F2" s="1165"/>
      <c r="G2" s="1165"/>
      <c r="H2" s="263"/>
    </row>
    <row r="3" spans="1:12" ht="18" customHeight="1" thickBot="1">
      <c r="A3" s="263"/>
      <c r="B3" s="1172" t="s">
        <v>256</v>
      </c>
      <c r="C3" s="1172" t="s">
        <v>301</v>
      </c>
      <c r="D3" s="1182" t="s">
        <v>302</v>
      </c>
      <c r="E3" s="1183"/>
      <c r="F3" s="1184"/>
      <c r="G3" s="1172" t="s">
        <v>304</v>
      </c>
      <c r="H3" s="263"/>
    </row>
    <row r="4" spans="1:12" ht="32.25" customHeight="1" thickBot="1">
      <c r="A4" s="263"/>
      <c r="B4" s="1172"/>
      <c r="C4" s="1172"/>
      <c r="D4" s="765" t="s">
        <v>103</v>
      </c>
      <c r="E4" s="765" t="s">
        <v>104</v>
      </c>
      <c r="F4" s="765" t="s">
        <v>303</v>
      </c>
      <c r="G4" s="1186"/>
      <c r="H4" s="263"/>
    </row>
    <row r="5" spans="1:12" ht="15" customHeight="1" thickBot="1">
      <c r="A5" s="263"/>
      <c r="B5" s="428">
        <v>1990</v>
      </c>
      <c r="C5" s="490">
        <v>57.298850000000002</v>
      </c>
      <c r="D5" s="490">
        <v>51.204782999999999</v>
      </c>
      <c r="E5" s="490">
        <v>6.0940670000000026</v>
      </c>
      <c r="F5" s="490"/>
      <c r="G5" s="490">
        <v>89.36441656333416</v>
      </c>
      <c r="H5" s="263"/>
      <c r="I5" s="34"/>
    </row>
    <row r="6" spans="1:12" ht="15" customHeight="1" thickBot="1">
      <c r="A6" s="263"/>
      <c r="B6" s="429">
        <v>1995</v>
      </c>
      <c r="C6" s="491">
        <v>66.695113000000006</v>
      </c>
      <c r="D6" s="491">
        <v>61.983660999999998</v>
      </c>
      <c r="E6" s="491">
        <v>4.7114520000000084</v>
      </c>
      <c r="F6" s="491">
        <v>10.778877999999999</v>
      </c>
      <c r="G6" s="491">
        <v>92.935836243354132</v>
      </c>
      <c r="H6" s="263"/>
    </row>
    <row r="7" spans="1:12" ht="15" customHeight="1" thickBot="1">
      <c r="A7" s="263"/>
      <c r="B7" s="428">
        <v>2000</v>
      </c>
      <c r="C7" s="490">
        <v>71.141889000000006</v>
      </c>
      <c r="D7" s="490">
        <v>67.302460999999994</v>
      </c>
      <c r="E7" s="490">
        <v>3.8394280000000123</v>
      </c>
      <c r="F7" s="490">
        <v>5.318799999999996</v>
      </c>
      <c r="G7" s="490">
        <v>94.603140211809659</v>
      </c>
      <c r="H7" s="263"/>
    </row>
    <row r="8" spans="1:12" ht="15" customHeight="1" thickBot="1">
      <c r="A8" s="263"/>
      <c r="B8" s="429">
        <v>2005</v>
      </c>
      <c r="C8" s="491">
        <v>76.093575999999999</v>
      </c>
      <c r="D8" s="491">
        <v>72.310034999999999</v>
      </c>
      <c r="E8" s="491">
        <v>3.7835409999999996</v>
      </c>
      <c r="F8" s="491">
        <v>5.0075740000000053</v>
      </c>
      <c r="G8" s="491">
        <v>95.027778691856994</v>
      </c>
      <c r="H8" s="263"/>
    </row>
    <row r="9" spans="1:12" ht="15" customHeight="1" thickBot="1">
      <c r="A9" s="263"/>
      <c r="B9" s="428" t="s">
        <v>134</v>
      </c>
      <c r="C9" s="490">
        <v>76.327029584121348</v>
      </c>
      <c r="D9" s="490">
        <v>72.599999999999994</v>
      </c>
      <c r="E9" s="490">
        <v>3.7270295841213539</v>
      </c>
      <c r="F9" s="490">
        <v>0.28996499999999514</v>
      </c>
      <c r="G9" s="490">
        <v>95.117025247243859</v>
      </c>
      <c r="H9" s="263"/>
    </row>
    <row r="10" spans="1:12" ht="15" customHeight="1" thickBot="1">
      <c r="A10" s="263"/>
      <c r="B10" s="429" t="s">
        <v>208</v>
      </c>
      <c r="C10" s="491">
        <v>77.075192753943298</v>
      </c>
      <c r="D10" s="491">
        <v>73.314742475904765</v>
      </c>
      <c r="E10" s="491">
        <v>3.7604502780385332</v>
      </c>
      <c r="F10" s="491">
        <v>0.71474247590477091</v>
      </c>
      <c r="G10" s="491">
        <v>95.121062765235649</v>
      </c>
      <c r="H10" s="263"/>
    </row>
    <row r="11" spans="1:12" ht="15" customHeight="1" thickBot="1">
      <c r="A11" s="263"/>
      <c r="B11" s="428" t="s">
        <v>227</v>
      </c>
      <c r="C11" s="490">
        <v>77.990255088976852</v>
      </c>
      <c r="D11" s="490">
        <v>73.730622926181908</v>
      </c>
      <c r="E11" s="490">
        <v>4.2596321627949436</v>
      </c>
      <c r="F11" s="490">
        <v>0.41588045027714315</v>
      </c>
      <c r="G11" s="490">
        <v>94.538250762309659</v>
      </c>
      <c r="H11" s="263"/>
    </row>
    <row r="12" spans="1:12" ht="15" customHeight="1" thickBot="1">
      <c r="A12" s="263"/>
      <c r="B12" s="429" t="s">
        <v>259</v>
      </c>
      <c r="C12" s="491">
        <v>78.843300401052375</v>
      </c>
      <c r="D12" s="491">
        <v>74.400000000000006</v>
      </c>
      <c r="E12" s="1004">
        <v>4.4433004010523689</v>
      </c>
      <c r="F12" s="491">
        <v>0.6693770738180973</v>
      </c>
      <c r="G12" s="1004">
        <v>94.364390660397746</v>
      </c>
      <c r="H12" s="263"/>
    </row>
    <row r="13" spans="1:12" ht="15" customHeight="1" thickBot="1">
      <c r="A13" s="263"/>
      <c r="B13" s="772" t="s">
        <v>265</v>
      </c>
      <c r="C13" s="832">
        <v>79.684191713695071</v>
      </c>
      <c r="D13" s="832">
        <v>75.125472691937674</v>
      </c>
      <c r="E13" s="832">
        <v>4.5587190217573976</v>
      </c>
      <c r="F13" s="832">
        <v>0.72547269193766795</v>
      </c>
      <c r="G13" s="832">
        <v>94.279017050035648</v>
      </c>
      <c r="H13" s="263"/>
      <c r="I13" s="16"/>
      <c r="J13" s="67"/>
      <c r="K13" s="67"/>
      <c r="L13" s="16"/>
    </row>
    <row r="14" spans="1:12" ht="12" customHeight="1">
      <c r="A14" s="263"/>
      <c r="B14" s="1185" t="s">
        <v>122</v>
      </c>
      <c r="C14" s="1185"/>
      <c r="D14" s="1185"/>
      <c r="E14" s="1185"/>
      <c r="F14" s="1185"/>
      <c r="G14" s="1185"/>
      <c r="H14" s="273"/>
      <c r="I14" s="17"/>
    </row>
    <row r="15" spans="1:12" ht="12" customHeight="1">
      <c r="A15" s="263"/>
      <c r="B15" s="1185" t="s">
        <v>210</v>
      </c>
      <c r="C15" s="1185"/>
      <c r="D15" s="1185"/>
      <c r="E15" s="1185"/>
      <c r="F15" s="1185"/>
      <c r="G15" s="1185"/>
      <c r="H15" s="263"/>
    </row>
    <row r="16" spans="1:12" ht="12" customHeight="1">
      <c r="A16" s="263"/>
      <c r="B16" s="467" t="s">
        <v>299</v>
      </c>
      <c r="C16" s="467"/>
      <c r="D16" s="467"/>
      <c r="E16" s="467"/>
      <c r="F16" s="467"/>
      <c r="G16" s="467"/>
      <c r="H16" s="263"/>
    </row>
    <row r="17" spans="1:8" ht="5.25" customHeight="1">
      <c r="A17" s="263"/>
      <c r="B17" s="264"/>
      <c r="C17" s="263"/>
      <c r="D17" s="263"/>
      <c r="E17" s="263"/>
      <c r="F17" s="263"/>
      <c r="G17" s="263"/>
      <c r="H17" s="263"/>
    </row>
    <row r="18" spans="1:8">
      <c r="B18" s="5"/>
      <c r="F18" s="52"/>
    </row>
    <row r="21" spans="1:8">
      <c r="C21" s="26"/>
      <c r="D21" s="26"/>
      <c r="E21" s="26"/>
    </row>
    <row r="22" spans="1:8">
      <c r="C22" s="26"/>
      <c r="D22" s="26"/>
      <c r="E22" s="26"/>
    </row>
    <row r="23" spans="1:8">
      <c r="C23" s="26"/>
      <c r="D23" s="26"/>
      <c r="E23" s="26"/>
    </row>
    <row r="24" spans="1:8">
      <c r="B24" s="237"/>
    </row>
    <row r="31" spans="1:8">
      <c r="B31" s="237"/>
    </row>
    <row r="34" spans="2:2">
      <c r="B34" s="235"/>
    </row>
    <row r="42" spans="2:2">
      <c r="B42" s="235"/>
    </row>
    <row r="49" spans="2:2">
      <c r="B49" s="242"/>
    </row>
  </sheetData>
  <sheetProtection password="CF4C" sheet="1" objects="1" scenarios="1"/>
  <customSheetViews>
    <customSheetView guid="{E9B43C8C-734F-433D-AD37-344F9303B5CC}" showPageBreaks="1" showGridLines="0" showRuler="0">
      <selection activeCell="F18" sqref="F18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1"/>
      <headerFooter alignWithMargins="0"/>
    </customSheetView>
    <customSheetView guid="{9BF398E0-33D8-4E64-94A2-9B7C822C8383}" showPageBreaks="1" showGridLines="0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2"/>
      <headerFooter alignWithMargins="0"/>
    </customSheetView>
    <customSheetView guid="{6DCFE324-2DF9-4BB0-88BD-A4AD316C7A9E}" showGridLines="0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3"/>
      <headerFooter alignWithMargins="0"/>
    </customSheetView>
    <customSheetView guid="{48A744A8-8180-4A3B-8108-49EF41816969}" showGridLines="0" showRuler="0">
      <selection activeCell="B16" sqref="B16:G16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4"/>
      <headerFooter alignWithMargins="0"/>
    </customSheetView>
    <customSheetView guid="{9E220BD5-A526-40BD-8239-3A0461590922}" showGridLines="0" showRuler="0">
      <selection activeCell="D20" sqref="D20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5"/>
      <headerFooter alignWithMargins="0"/>
    </customSheetView>
  </customSheetViews>
  <mergeCells count="7">
    <mergeCell ref="B2:G2"/>
    <mergeCell ref="D3:F3"/>
    <mergeCell ref="B15:G15"/>
    <mergeCell ref="B14:G14"/>
    <mergeCell ref="G3:G4"/>
    <mergeCell ref="C3:C4"/>
    <mergeCell ref="B3:B4"/>
  </mergeCells>
  <phoneticPr fontId="9" type="noConversion"/>
  <printOptions horizontalCentered="1"/>
  <pageMargins left="0.19685039370078741" right="0.19685039370078741" top="0.59055118110236227" bottom="0.59055118110236227" header="0.39370078740157483" footer="0.39370078740157483"/>
  <pageSetup orientation="portrait" r:id="rId6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5" enableFormatConditionsCalculation="0">
    <tabColor theme="4" tint="-0.249977111117893"/>
  </sheetPr>
  <dimension ref="A1:M49"/>
  <sheetViews>
    <sheetView showGridLines="0" zoomScaleSheetLayoutView="100" workbookViewId="0">
      <selection activeCell="J11" sqref="J11"/>
    </sheetView>
  </sheetViews>
  <sheetFormatPr baseColWidth="10" defaultRowHeight="12.75"/>
  <cols>
    <col min="1" max="1" width="1.7109375" customWidth="1"/>
    <col min="2" max="3" width="16.7109375" customWidth="1"/>
    <col min="4" max="5" width="14" bestFit="1" customWidth="1"/>
    <col min="6" max="6" width="12.7109375" customWidth="1"/>
    <col min="7" max="7" width="13.7109375" customWidth="1"/>
    <col min="8" max="8" width="1.7109375" customWidth="1"/>
    <col min="11" max="11" width="6.85546875" customWidth="1"/>
  </cols>
  <sheetData>
    <row r="1" spans="1:13" s="46" customFormat="1" ht="12" customHeight="1">
      <c r="A1" s="261"/>
      <c r="B1" s="259"/>
      <c r="C1" s="260"/>
      <c r="D1" s="260"/>
      <c r="E1" s="260"/>
      <c r="F1" s="260"/>
      <c r="G1" s="260"/>
      <c r="H1" s="261"/>
    </row>
    <row r="2" spans="1:13" ht="18.75" customHeight="1" thickBot="1">
      <c r="A2" s="263"/>
      <c r="B2" s="1165" t="s">
        <v>550</v>
      </c>
      <c r="C2" s="1165"/>
      <c r="D2" s="1165"/>
      <c r="E2" s="1165"/>
      <c r="F2" s="1165"/>
      <c r="G2" s="1165"/>
      <c r="H2" s="263"/>
    </row>
    <row r="3" spans="1:13" ht="18" customHeight="1" thickBot="1">
      <c r="A3" s="263"/>
      <c r="B3" s="1172" t="s">
        <v>256</v>
      </c>
      <c r="C3" s="1172" t="s">
        <v>301</v>
      </c>
      <c r="D3" s="1182" t="s">
        <v>302</v>
      </c>
      <c r="E3" s="1183"/>
      <c r="F3" s="1184"/>
      <c r="G3" s="1172" t="s">
        <v>304</v>
      </c>
      <c r="H3" s="263"/>
    </row>
    <row r="4" spans="1:13" ht="30.75" customHeight="1" thickBot="1">
      <c r="A4" s="263"/>
      <c r="B4" s="1172"/>
      <c r="C4" s="1172"/>
      <c r="D4" s="765" t="s">
        <v>103</v>
      </c>
      <c r="E4" s="765" t="s">
        <v>104</v>
      </c>
      <c r="F4" s="765" t="s">
        <v>303</v>
      </c>
      <c r="G4" s="1186"/>
      <c r="H4" s="263"/>
    </row>
    <row r="5" spans="1:13" ht="15" customHeight="1" thickBot="1">
      <c r="A5" s="263"/>
      <c r="B5" s="428">
        <v>1990</v>
      </c>
      <c r="C5" s="490">
        <v>23.134974</v>
      </c>
      <c r="D5" s="490">
        <v>11.850759</v>
      </c>
      <c r="E5" s="490">
        <v>11.284215</v>
      </c>
      <c r="F5" s="490"/>
      <c r="G5" s="490">
        <v>51.224431892596897</v>
      </c>
      <c r="H5" s="263"/>
    </row>
    <row r="6" spans="1:13" ht="15" customHeight="1" thickBot="1">
      <c r="A6" s="263"/>
      <c r="B6" s="429">
        <v>1995</v>
      </c>
      <c r="C6" s="491">
        <v>24.033539000000001</v>
      </c>
      <c r="D6" s="491">
        <v>14.755267</v>
      </c>
      <c r="E6" s="491">
        <v>9.2782720000000012</v>
      </c>
      <c r="F6" s="491">
        <v>2.9045079999999999</v>
      </c>
      <c r="G6" s="491">
        <v>61.394482934868641</v>
      </c>
      <c r="H6" s="263"/>
      <c r="J6" s="50"/>
    </row>
    <row r="7" spans="1:13" ht="15" customHeight="1" thickBot="1">
      <c r="A7" s="263"/>
      <c r="B7" s="428">
        <v>2000</v>
      </c>
      <c r="C7" s="490">
        <v>24.231590000000001</v>
      </c>
      <c r="D7" s="490">
        <v>16.466341</v>
      </c>
      <c r="E7" s="490">
        <v>7.7652490000000007</v>
      </c>
      <c r="F7" s="490">
        <v>1.711074</v>
      </c>
      <c r="G7" s="490">
        <v>67.954026128702239</v>
      </c>
      <c r="H7" s="263"/>
      <c r="J7" s="50"/>
    </row>
    <row r="8" spans="1:13" ht="15" customHeight="1" thickBot="1">
      <c r="A8" s="263"/>
      <c r="B8" s="429">
        <v>2005</v>
      </c>
      <c r="C8" s="491">
        <v>23.934885000000001</v>
      </c>
      <c r="D8" s="491">
        <v>16.913716000000001</v>
      </c>
      <c r="E8" s="491">
        <v>7.0211690000000004</v>
      </c>
      <c r="F8" s="491">
        <v>0.44737500000000097</v>
      </c>
      <c r="G8" s="491">
        <v>70.665541112898595</v>
      </c>
      <c r="H8" s="263"/>
      <c r="J8" s="50"/>
    </row>
    <row r="9" spans="1:13" ht="15" customHeight="1" thickBot="1">
      <c r="A9" s="263"/>
      <c r="B9" s="428" t="s">
        <v>134</v>
      </c>
      <c r="C9" s="490">
        <v>23.919622591393434</v>
      </c>
      <c r="D9" s="490">
        <v>17.100000000000001</v>
      </c>
      <c r="E9" s="490">
        <v>6.8196225913934327</v>
      </c>
      <c r="F9" s="490">
        <v>0.18628400000000056</v>
      </c>
      <c r="G9" s="490">
        <v>71.48942227103862</v>
      </c>
      <c r="H9" s="263"/>
      <c r="J9" s="50"/>
    </row>
    <row r="10" spans="1:13" ht="15" customHeight="1" thickBot="1">
      <c r="A10" s="263"/>
      <c r="B10" s="429" t="s">
        <v>208</v>
      </c>
      <c r="C10" s="491">
        <v>24.062004680061797</v>
      </c>
      <c r="D10" s="491">
        <v>17.398211447077699</v>
      </c>
      <c r="E10" s="491">
        <v>6.6637932329840979</v>
      </c>
      <c r="F10" s="491">
        <v>0.29821144707769776</v>
      </c>
      <c r="G10" s="491">
        <v>72.305743758308566</v>
      </c>
      <c r="H10" s="263"/>
      <c r="J10" s="50"/>
    </row>
    <row r="11" spans="1:13" ht="15" customHeight="1" thickBot="1">
      <c r="A11" s="263"/>
      <c r="B11" s="428" t="s">
        <v>227</v>
      </c>
      <c r="C11" s="490">
        <v>23.951070956334014</v>
      </c>
      <c r="D11" s="490">
        <v>17.894866838201064</v>
      </c>
      <c r="E11" s="490">
        <v>6.0562041181329498</v>
      </c>
      <c r="F11" s="490">
        <v>0.49665539112336532</v>
      </c>
      <c r="G11" s="490">
        <v>74.714265891599524</v>
      </c>
      <c r="H11" s="263"/>
      <c r="J11" s="50"/>
    </row>
    <row r="12" spans="1:13" ht="15" customHeight="1" thickBot="1">
      <c r="A12" s="263"/>
      <c r="B12" s="429" t="s">
        <v>260</v>
      </c>
      <c r="C12" s="491">
        <v>23.930413882655284</v>
      </c>
      <c r="D12" s="491">
        <v>18.375916647831275</v>
      </c>
      <c r="E12" s="1004">
        <v>5.5544972348240087</v>
      </c>
      <c r="F12" s="1004">
        <v>0.48104980963021049</v>
      </c>
      <c r="G12" s="491">
        <v>76.788962940378156</v>
      </c>
      <c r="H12" s="263"/>
      <c r="J12" s="50"/>
    </row>
    <row r="13" spans="1:13" ht="15" customHeight="1" thickBot="1">
      <c r="A13" s="263"/>
      <c r="B13" s="772" t="s">
        <v>265</v>
      </c>
      <c r="C13" s="832">
        <v>23.899162195321249</v>
      </c>
      <c r="D13" s="832">
        <v>18.772851934598986</v>
      </c>
      <c r="E13" s="832">
        <v>5.1263102607222635</v>
      </c>
      <c r="F13" s="832">
        <v>0.39693528676771095</v>
      </c>
      <c r="G13" s="832">
        <v>78.550251181081805</v>
      </c>
      <c r="H13" s="263"/>
      <c r="J13" s="16"/>
      <c r="K13" s="16"/>
      <c r="L13" s="67"/>
      <c r="M13" s="16">
        <v>27.325819288484908</v>
      </c>
    </row>
    <row r="14" spans="1:13" ht="12" customHeight="1">
      <c r="A14" s="263"/>
      <c r="B14" s="1185" t="s">
        <v>122</v>
      </c>
      <c r="C14" s="1185"/>
      <c r="D14" s="1185"/>
      <c r="E14" s="1185"/>
      <c r="F14" s="1185"/>
      <c r="G14" s="1185"/>
      <c r="H14" s="273"/>
      <c r="I14" s="17"/>
    </row>
    <row r="15" spans="1:13" ht="12" customHeight="1">
      <c r="A15" s="263"/>
      <c r="B15" s="1185" t="s">
        <v>210</v>
      </c>
      <c r="C15" s="1185"/>
      <c r="D15" s="1185"/>
      <c r="E15" s="1185"/>
      <c r="F15" s="1185"/>
      <c r="G15" s="1185"/>
      <c r="H15" s="273"/>
      <c r="I15" s="17"/>
    </row>
    <row r="16" spans="1:13" ht="12" customHeight="1">
      <c r="A16" s="263"/>
      <c r="B16" s="467" t="s">
        <v>299</v>
      </c>
      <c r="C16" s="467"/>
      <c r="D16" s="467"/>
      <c r="E16" s="467"/>
      <c r="F16" s="467"/>
      <c r="G16" s="467"/>
      <c r="H16" s="263"/>
    </row>
    <row r="17" spans="1:10" ht="6" customHeight="1">
      <c r="A17" s="263"/>
      <c r="B17" s="468"/>
      <c r="C17" s="468"/>
      <c r="D17" s="468"/>
      <c r="E17" s="468"/>
      <c r="F17" s="468"/>
      <c r="G17" s="468"/>
      <c r="H17" s="263"/>
    </row>
    <row r="19" spans="1:10">
      <c r="B19" s="85"/>
      <c r="C19" s="86"/>
      <c r="D19" s="86"/>
      <c r="E19" s="86"/>
      <c r="F19" s="86"/>
      <c r="G19" s="86"/>
      <c r="H19" s="86"/>
      <c r="I19" s="86"/>
      <c r="J19" s="86"/>
    </row>
    <row r="20" spans="1:10">
      <c r="B20" s="85"/>
      <c r="C20" s="86"/>
      <c r="D20" s="86"/>
      <c r="E20" s="86"/>
      <c r="F20" s="199"/>
      <c r="G20" s="86"/>
      <c r="H20" s="86"/>
      <c r="I20" s="86"/>
      <c r="J20" s="86"/>
    </row>
    <row r="21" spans="1:10">
      <c r="B21" s="85"/>
      <c r="C21" s="86"/>
      <c r="D21" s="86"/>
      <c r="E21" s="86"/>
      <c r="F21" s="86"/>
      <c r="G21" s="86"/>
      <c r="H21" s="86"/>
      <c r="I21" s="86"/>
      <c r="J21" s="86"/>
    </row>
    <row r="22" spans="1:10">
      <c r="B22" s="85"/>
      <c r="C22" s="86"/>
      <c r="D22" s="86"/>
      <c r="E22" s="86"/>
      <c r="F22" s="86"/>
      <c r="G22" s="86"/>
      <c r="H22" s="86"/>
      <c r="I22" s="86"/>
      <c r="J22" s="86"/>
    </row>
    <row r="23" spans="1:10">
      <c r="B23" s="87"/>
      <c r="C23" s="86"/>
      <c r="D23" s="86"/>
      <c r="E23" s="86"/>
      <c r="F23" s="86"/>
      <c r="G23" s="86"/>
      <c r="H23" s="86"/>
      <c r="I23" s="86"/>
      <c r="J23" s="86"/>
    </row>
    <row r="24" spans="1:10">
      <c r="B24" s="237"/>
      <c r="C24" s="86"/>
      <c r="D24" s="86"/>
      <c r="E24" s="86"/>
      <c r="F24" s="86"/>
      <c r="G24" s="86"/>
      <c r="H24" s="86"/>
      <c r="I24" s="86"/>
      <c r="J24" s="86"/>
    </row>
    <row r="25" spans="1:10">
      <c r="C25" s="86"/>
      <c r="D25" s="86"/>
      <c r="E25" s="86"/>
      <c r="F25" s="86"/>
      <c r="G25" s="86"/>
      <c r="H25" s="86"/>
      <c r="I25" s="86"/>
      <c r="J25" s="86"/>
    </row>
    <row r="26" spans="1:10">
      <c r="C26" s="86"/>
      <c r="D26" s="86"/>
      <c r="E26" s="86"/>
      <c r="F26" s="86"/>
      <c r="G26" s="86"/>
      <c r="H26" s="86"/>
      <c r="I26" s="86"/>
      <c r="J26" s="86"/>
    </row>
    <row r="27" spans="1:10">
      <c r="C27" s="86"/>
      <c r="D27" s="86"/>
      <c r="E27" s="86"/>
      <c r="F27" s="86"/>
      <c r="G27" s="86"/>
      <c r="H27" s="86"/>
      <c r="I27" s="86"/>
      <c r="J27" s="86"/>
    </row>
    <row r="31" spans="1:10">
      <c r="B31" s="237"/>
    </row>
    <row r="34" spans="2:2">
      <c r="B34" s="235"/>
    </row>
    <row r="42" spans="2:2">
      <c r="B42" s="235"/>
    </row>
    <row r="49" spans="2:2">
      <c r="B49" s="242"/>
    </row>
  </sheetData>
  <sheetProtection password="CF4C" sheet="1" objects="1" scenarios="1"/>
  <customSheetViews>
    <customSheetView guid="{E9B43C8C-734F-433D-AD37-344F9303B5CC}" showPageBreaks="1" showGridLines="0" showRuler="0">
      <selection activeCell="E22" sqref="E22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1"/>
      <headerFooter alignWithMargins="0"/>
    </customSheetView>
    <customSheetView guid="{9BF398E0-33D8-4E64-94A2-9B7C822C8383}" showPageBreaks="1" showGridLines="0" printArea="1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2"/>
      <headerFooter alignWithMargins="0"/>
    </customSheetView>
    <customSheetView guid="{6DCFE324-2DF9-4BB0-88BD-A4AD316C7A9E}" showPageBreaks="1" showGridLines="0" printArea="1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3"/>
      <headerFooter alignWithMargins="0"/>
    </customSheetView>
    <customSheetView guid="{48A744A8-8180-4A3B-8108-49EF41816969}" showGridLines="0" showRuler="0">
      <selection activeCell="B16" sqref="B16:G16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4"/>
      <headerFooter alignWithMargins="0"/>
    </customSheetView>
    <customSheetView guid="{9E220BD5-A526-40BD-8239-3A0461590922}" showGridLines="0" showRuler="0">
      <selection activeCell="E22" sqref="E22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5"/>
      <headerFooter alignWithMargins="0"/>
    </customSheetView>
  </customSheetViews>
  <mergeCells count="7">
    <mergeCell ref="B2:G2"/>
    <mergeCell ref="D3:F3"/>
    <mergeCell ref="B15:G15"/>
    <mergeCell ref="B14:G14"/>
    <mergeCell ref="G3:G4"/>
    <mergeCell ref="C3:C4"/>
    <mergeCell ref="B3:B4"/>
  </mergeCells>
  <phoneticPr fontId="9" type="noConversion"/>
  <printOptions horizontalCentered="1"/>
  <pageMargins left="0.19685039370078741" right="0.19685039370078741" top="0.59055118110236227" bottom="0.59055118110236227" header="0.39370078740157483" footer="0.39370078740157483"/>
  <pageSetup orientation="portrait" r:id="rId6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52" enableFormatConditionsCalculation="0">
    <tabColor rgb="FF669900"/>
    <pageSetUpPr fitToPage="1"/>
  </sheetPr>
  <dimension ref="A1:L49"/>
  <sheetViews>
    <sheetView showGridLines="0" workbookViewId="0">
      <selection activeCell="K12" sqref="K12"/>
    </sheetView>
  </sheetViews>
  <sheetFormatPr baseColWidth="10" defaultRowHeight="12.75"/>
  <cols>
    <col min="1" max="1" width="1.7109375" customWidth="1"/>
    <col min="2" max="2" width="12.7109375" customWidth="1"/>
    <col min="3" max="3" width="20.7109375" customWidth="1"/>
    <col min="4" max="6" width="14" bestFit="1" customWidth="1"/>
    <col min="7" max="7" width="12.7109375" customWidth="1"/>
    <col min="8" max="8" width="1.7109375" customWidth="1"/>
  </cols>
  <sheetData>
    <row r="1" spans="1:12" s="46" customFormat="1" ht="12" customHeight="1">
      <c r="A1" s="261"/>
      <c r="B1" s="259"/>
      <c r="C1" s="260"/>
      <c r="D1" s="260"/>
      <c r="E1" s="260"/>
      <c r="F1" s="260"/>
      <c r="G1" s="260"/>
      <c r="H1" s="261"/>
    </row>
    <row r="2" spans="1:12" ht="18" customHeight="1" thickBot="1">
      <c r="A2" s="263"/>
      <c r="B2" s="1187" t="s">
        <v>551</v>
      </c>
      <c r="C2" s="1187"/>
      <c r="D2" s="1187"/>
      <c r="E2" s="1187"/>
      <c r="F2" s="1187"/>
      <c r="G2" s="1187"/>
      <c r="H2" s="263"/>
    </row>
    <row r="3" spans="1:12" ht="18" customHeight="1" thickBot="1">
      <c r="A3" s="263"/>
      <c r="B3" s="1189" t="s">
        <v>256</v>
      </c>
      <c r="C3" s="1189" t="s">
        <v>301</v>
      </c>
      <c r="D3" s="1191" t="s">
        <v>302</v>
      </c>
      <c r="E3" s="1192"/>
      <c r="F3" s="1193"/>
      <c r="G3" s="1189" t="s">
        <v>304</v>
      </c>
      <c r="H3" s="263"/>
    </row>
    <row r="4" spans="1:12" ht="24" customHeight="1" thickBot="1">
      <c r="A4" s="263"/>
      <c r="B4" s="1189"/>
      <c r="C4" s="1189"/>
      <c r="D4" s="430" t="s">
        <v>103</v>
      </c>
      <c r="E4" s="430" t="s">
        <v>104</v>
      </c>
      <c r="F4" s="430" t="s">
        <v>303</v>
      </c>
      <c r="G4" s="1190"/>
      <c r="H4" s="263"/>
    </row>
    <row r="5" spans="1:12" ht="15" customHeight="1" thickBot="1">
      <c r="A5" s="263"/>
      <c r="B5" s="568">
        <v>1990</v>
      </c>
      <c r="C5" s="569">
        <v>80.433824000000001</v>
      </c>
      <c r="D5" s="569">
        <v>49.454701</v>
      </c>
      <c r="E5" s="569">
        <v>30.979123000000001</v>
      </c>
      <c r="F5" s="569"/>
      <c r="G5" s="569">
        <v>61.484955632595565</v>
      </c>
      <c r="H5" s="263"/>
    </row>
    <row r="6" spans="1:12" ht="15" customHeight="1" thickBot="1">
      <c r="A6" s="263"/>
      <c r="B6" s="775">
        <v>1995</v>
      </c>
      <c r="C6" s="776">
        <v>90.728652000000011</v>
      </c>
      <c r="D6" s="776">
        <v>65.689143000000001</v>
      </c>
      <c r="E6" s="776">
        <v>25.03950900000001</v>
      </c>
      <c r="F6" s="776">
        <v>16.234442000000001</v>
      </c>
      <c r="G6" s="776">
        <v>72.401762345151994</v>
      </c>
      <c r="H6" s="275"/>
      <c r="I6" s="91"/>
    </row>
    <row r="7" spans="1:12" ht="15" customHeight="1" thickBot="1">
      <c r="A7" s="263"/>
      <c r="B7" s="568">
        <v>2000</v>
      </c>
      <c r="C7" s="569">
        <v>95.373479000000003</v>
      </c>
      <c r="D7" s="569">
        <v>72.654381000000001</v>
      </c>
      <c r="E7" s="569">
        <v>22.719098000000002</v>
      </c>
      <c r="F7" s="569">
        <v>6.9652379999999994</v>
      </c>
      <c r="G7" s="569">
        <v>76.178809624843396</v>
      </c>
      <c r="H7" s="263"/>
      <c r="I7" s="50"/>
    </row>
    <row r="8" spans="1:12" ht="15" customHeight="1" thickBot="1">
      <c r="A8" s="263"/>
      <c r="B8" s="775">
        <v>2005</v>
      </c>
      <c r="C8" s="776">
        <v>100.02846099999999</v>
      </c>
      <c r="D8" s="776">
        <v>85.641177999999996</v>
      </c>
      <c r="E8" s="776">
        <v>14.387282999999996</v>
      </c>
      <c r="F8" s="776">
        <v>12.986796999999996</v>
      </c>
      <c r="G8" s="776">
        <v>85.61681059953527</v>
      </c>
      <c r="H8" s="263"/>
      <c r="I8" s="50"/>
    </row>
    <row r="9" spans="1:12" ht="15" customHeight="1" thickBot="1">
      <c r="A9" s="263"/>
      <c r="B9" s="568" t="s">
        <v>134</v>
      </c>
      <c r="C9" s="569">
        <v>100.24665217551478</v>
      </c>
      <c r="D9" s="569">
        <v>86.1</v>
      </c>
      <c r="E9" s="569">
        <v>14.1</v>
      </c>
      <c r="F9" s="569">
        <v>0.5</v>
      </c>
      <c r="G9" s="569">
        <v>85.888154997189915</v>
      </c>
      <c r="H9" s="263"/>
      <c r="I9" s="50"/>
    </row>
    <row r="10" spans="1:12" ht="15" customHeight="1" thickBot="1">
      <c r="A10" s="263"/>
      <c r="B10" s="775" t="s">
        <v>208</v>
      </c>
      <c r="C10" s="776">
        <v>101.13719743400507</v>
      </c>
      <c r="D10" s="776">
        <v>87.015750323911163</v>
      </c>
      <c r="E10" s="776">
        <v>14.121447110093911</v>
      </c>
      <c r="F10" s="776">
        <v>0.91575032391116906</v>
      </c>
      <c r="G10" s="776">
        <v>86.037335947232904</v>
      </c>
      <c r="H10" s="263"/>
      <c r="I10" s="50"/>
    </row>
    <row r="11" spans="1:12" ht="15" customHeight="1" thickBot="1">
      <c r="A11" s="263"/>
      <c r="B11" s="568" t="s">
        <v>227</v>
      </c>
      <c r="C11" s="569">
        <v>101.94132604531086</v>
      </c>
      <c r="D11" s="569">
        <v>87.797552116695854</v>
      </c>
      <c r="E11" s="569">
        <v>14.143773928615005</v>
      </c>
      <c r="F11" s="569">
        <v>0.78180179278469097</v>
      </c>
      <c r="G11" s="569">
        <v>86.125573918541747</v>
      </c>
      <c r="H11" s="263"/>
      <c r="I11" s="50"/>
    </row>
    <row r="12" spans="1:12" ht="15" customHeight="1" thickBot="1">
      <c r="A12" s="263"/>
      <c r="B12" s="775" t="s">
        <v>259</v>
      </c>
      <c r="C12" s="776">
        <v>102.77371428370766</v>
      </c>
      <c r="D12" s="776">
        <v>88.796489141123416</v>
      </c>
      <c r="E12" s="776">
        <v>13.977225142584246</v>
      </c>
      <c r="F12" s="776">
        <v>0.99893702442756194</v>
      </c>
      <c r="G12" s="776">
        <v>86.4</v>
      </c>
      <c r="H12" s="263"/>
      <c r="I12" s="50"/>
      <c r="K12" s="840"/>
    </row>
    <row r="13" spans="1:12" ht="15" customHeight="1" thickBot="1">
      <c r="A13" s="263"/>
      <c r="B13" s="773" t="s">
        <v>265</v>
      </c>
      <c r="C13" s="774">
        <v>103.58335390901632</v>
      </c>
      <c r="D13" s="774">
        <v>89.906313676154724</v>
      </c>
      <c r="E13" s="774">
        <v>13.6770402328616</v>
      </c>
      <c r="F13" s="774">
        <v>1.1098245350313078</v>
      </c>
      <c r="G13" s="774">
        <v>86.796102156650576</v>
      </c>
      <c r="H13" s="263"/>
      <c r="I13" s="16"/>
      <c r="J13" s="80"/>
      <c r="K13" s="80"/>
      <c r="L13" s="80"/>
    </row>
    <row r="14" spans="1:12" ht="12" customHeight="1">
      <c r="A14" s="263"/>
      <c r="B14" s="1188" t="s">
        <v>122</v>
      </c>
      <c r="C14" s="1188"/>
      <c r="D14" s="1188"/>
      <c r="E14" s="1188"/>
      <c r="F14" s="1188"/>
      <c r="G14" s="1188"/>
      <c r="H14" s="273"/>
      <c r="I14" s="17"/>
    </row>
    <row r="15" spans="1:12" ht="12" customHeight="1">
      <c r="A15" s="263"/>
      <c r="B15" s="1188" t="s">
        <v>210</v>
      </c>
      <c r="C15" s="1188"/>
      <c r="D15" s="1188"/>
      <c r="E15" s="1188"/>
      <c r="F15" s="1188"/>
      <c r="G15" s="1188"/>
      <c r="H15" s="273"/>
      <c r="I15" s="17"/>
    </row>
    <row r="16" spans="1:12" ht="12" customHeight="1">
      <c r="A16" s="263"/>
      <c r="B16" s="570" t="s">
        <v>299</v>
      </c>
      <c r="C16" s="570"/>
      <c r="D16" s="570"/>
      <c r="E16" s="570"/>
      <c r="F16" s="570"/>
      <c r="G16" s="570"/>
      <c r="H16" s="263"/>
      <c r="J16" s="23"/>
      <c r="K16" s="23"/>
      <c r="L16" s="23"/>
    </row>
    <row r="17" spans="1:9" ht="5.25" customHeight="1">
      <c r="A17" s="263"/>
      <c r="B17" s="264"/>
      <c r="C17" s="291"/>
      <c r="D17" s="291"/>
      <c r="E17" s="291"/>
      <c r="F17" s="291"/>
      <c r="G17" s="291"/>
      <c r="H17" s="263"/>
      <c r="I17" s="35"/>
    </row>
    <row r="18" spans="1:9">
      <c r="B18" s="5"/>
      <c r="C18" s="81"/>
      <c r="D18" s="81"/>
      <c r="E18" s="81"/>
      <c r="F18" s="81"/>
      <c r="G18" s="81"/>
      <c r="I18" s="35"/>
    </row>
    <row r="19" spans="1:9">
      <c r="B19" s="5"/>
      <c r="C19" s="51"/>
      <c r="D19" s="51"/>
      <c r="E19" s="51"/>
      <c r="F19" s="51"/>
      <c r="G19" s="51"/>
      <c r="I19" s="35"/>
    </row>
    <row r="20" spans="1:9">
      <c r="B20" s="5"/>
      <c r="C20" s="81"/>
      <c r="D20" s="81"/>
      <c r="E20" s="81"/>
      <c r="F20" s="81"/>
      <c r="G20" s="81"/>
      <c r="H20" s="5"/>
      <c r="I20" s="82"/>
    </row>
    <row r="21" spans="1:9">
      <c r="B21" s="5"/>
      <c r="C21" s="81"/>
      <c r="D21" s="81"/>
      <c r="E21" s="81"/>
      <c r="F21" s="81"/>
      <c r="G21" s="81"/>
      <c r="H21" s="5"/>
      <c r="I21" s="82"/>
    </row>
    <row r="22" spans="1:9">
      <c r="B22" s="5"/>
      <c r="C22" s="81"/>
      <c r="D22" s="81"/>
      <c r="E22" s="81"/>
      <c r="F22" s="81"/>
      <c r="G22" s="81"/>
      <c r="H22" s="5"/>
      <c r="I22" s="82"/>
    </row>
    <row r="23" spans="1:9">
      <c r="B23" s="5"/>
      <c r="C23" s="81"/>
      <c r="D23" s="81"/>
      <c r="E23" s="81"/>
      <c r="F23" s="81"/>
      <c r="G23" s="81"/>
      <c r="H23" s="5"/>
      <c r="I23" s="82"/>
    </row>
    <row r="24" spans="1:9">
      <c r="B24" s="234"/>
      <c r="C24" s="81"/>
      <c r="D24" s="81"/>
      <c r="E24" s="81"/>
      <c r="F24" s="81"/>
      <c r="G24" s="81"/>
      <c r="H24" s="5"/>
      <c r="I24" s="82"/>
    </row>
    <row r="25" spans="1:9">
      <c r="B25" s="5"/>
      <c r="C25" s="51"/>
      <c r="D25" s="51"/>
      <c r="E25" s="51"/>
      <c r="F25" s="51"/>
      <c r="G25" s="51"/>
      <c r="H25" s="51"/>
    </row>
    <row r="26" spans="1:9">
      <c r="B26" s="5"/>
      <c r="C26" s="51"/>
      <c r="D26" s="51"/>
      <c r="E26" s="51"/>
      <c r="F26" s="51"/>
      <c r="G26" s="51"/>
      <c r="H26" s="51"/>
    </row>
    <row r="31" spans="1:9">
      <c r="B31" s="237"/>
    </row>
    <row r="34" spans="2:2">
      <c r="B34" s="235"/>
    </row>
    <row r="42" spans="2:2">
      <c r="B42" s="235"/>
    </row>
    <row r="49" spans="2:2">
      <c r="B49" s="242"/>
    </row>
  </sheetData>
  <sheetProtection password="CF4C" sheet="1" objects="1" scenarios="1"/>
  <customSheetViews>
    <customSheetView guid="{E9B43C8C-734F-433D-AD37-344F9303B5CC}" showPageBreaks="1" showGridLines="0" showRuler="0">
      <selection activeCell="D13" sqref="D13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1"/>
      <headerFooter alignWithMargins="0"/>
    </customSheetView>
    <customSheetView guid="{9BF398E0-33D8-4E64-94A2-9B7C822C8383}" showPageBreaks="1" showGridLines="0" showRuler="0">
      <selection activeCell="C13" sqref="C13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2"/>
      <headerFooter alignWithMargins="0"/>
    </customSheetView>
    <customSheetView guid="{6DCFE324-2DF9-4BB0-88BD-A4AD316C7A9E}" showGridLines="0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3"/>
      <headerFooter alignWithMargins="0"/>
    </customSheetView>
    <customSheetView guid="{48A744A8-8180-4A3B-8108-49EF41816969}" showGridLines="0" showRuler="0">
      <selection activeCell="B14" sqref="B14:G16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4"/>
      <headerFooter alignWithMargins="0"/>
    </customSheetView>
    <customSheetView guid="{9E220BD5-A526-40BD-8239-3A0461590922}" showGridLines="0" showRuler="0">
      <selection activeCell="G32" sqref="G32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5"/>
      <headerFooter alignWithMargins="0"/>
    </customSheetView>
  </customSheetViews>
  <mergeCells count="7">
    <mergeCell ref="B2:G2"/>
    <mergeCell ref="B15:G15"/>
    <mergeCell ref="B14:G14"/>
    <mergeCell ref="G3:G4"/>
    <mergeCell ref="C3:C4"/>
    <mergeCell ref="B3:B4"/>
    <mergeCell ref="D3:F3"/>
  </mergeCells>
  <phoneticPr fontId="9" type="noConversion"/>
  <printOptions horizontalCentered="1"/>
  <pageMargins left="0.19685039370078741" right="0.19685039370078741" top="0.59055118110236227" bottom="0.59055118110236227" header="0.39370078740157483" footer="0.39370078740157483"/>
  <pageSetup orientation="portrait" r:id="rId6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enableFormatConditionsCalculation="0">
    <tabColor rgb="FF669900"/>
    <pageSetUpPr fitToPage="1"/>
  </sheetPr>
  <dimension ref="A2:N41"/>
  <sheetViews>
    <sheetView showGridLines="0" zoomScaleNormal="100" workbookViewId="0">
      <selection activeCell="Q14" sqref="Q14"/>
    </sheetView>
  </sheetViews>
  <sheetFormatPr baseColWidth="10" defaultRowHeight="12.75"/>
  <cols>
    <col min="1" max="1" width="2.140625" style="92" customWidth="1"/>
    <col min="2" max="2" width="2.5703125" style="92" customWidth="1"/>
    <col min="3" max="10" width="11.42578125" style="92"/>
    <col min="11" max="11" width="3.7109375" style="92" customWidth="1"/>
    <col min="12" max="12" width="11.42578125" style="92"/>
    <col min="13" max="13" width="11.42578125" style="92" customWidth="1"/>
    <col min="14" max="14" width="11.7109375" style="92" customWidth="1"/>
    <col min="15" max="15" width="11.42578125" style="92"/>
    <col min="16" max="16" width="6.85546875" style="92" customWidth="1"/>
    <col min="17" max="17" width="11.42578125" style="92" customWidth="1"/>
    <col min="18" max="16384" width="11.42578125" style="92"/>
  </cols>
  <sheetData>
    <row r="2" spans="1:14" ht="23.25" customHeight="1">
      <c r="B2" s="1194" t="s">
        <v>552</v>
      </c>
      <c r="C2" s="1194"/>
      <c r="D2" s="1194"/>
      <c r="E2" s="1194"/>
      <c r="F2" s="1194"/>
      <c r="G2" s="1194"/>
      <c r="H2" s="1195"/>
      <c r="I2" s="1195"/>
      <c r="J2" s="1195"/>
      <c r="K2" s="1195"/>
      <c r="L2" s="1195"/>
      <c r="M2" s="1195"/>
      <c r="N2" s="1195"/>
    </row>
    <row r="5" spans="1:14">
      <c r="A5" s="82"/>
    </row>
    <row r="6" spans="1:14">
      <c r="A6" s="82"/>
    </row>
    <row r="7" spans="1:14">
      <c r="A7" s="82"/>
    </row>
    <row r="8" spans="1:14">
      <c r="A8" s="82"/>
    </row>
    <row r="9" spans="1:14">
      <c r="A9" s="82"/>
    </row>
    <row r="10" spans="1:14">
      <c r="A10" s="82"/>
    </row>
    <row r="11" spans="1:14">
      <c r="A11" s="82"/>
    </row>
    <row r="12" spans="1:14">
      <c r="A12" s="82"/>
    </row>
    <row r="16" spans="1:14">
      <c r="N16" s="567"/>
    </row>
    <row r="23" spans="2:2">
      <c r="B23" s="241"/>
    </row>
    <row r="30" spans="2:2">
      <c r="B30" s="241"/>
    </row>
    <row r="33" spans="2:14" ht="12.75" customHeight="1">
      <c r="C33" s="566" t="s">
        <v>211</v>
      </c>
      <c r="D33" s="566"/>
      <c r="E33" s="566"/>
      <c r="F33" s="566"/>
      <c r="G33" s="566"/>
      <c r="H33" s="566"/>
      <c r="I33" s="470"/>
      <c r="J33" s="470"/>
      <c r="K33" s="470"/>
      <c r="L33" s="470"/>
      <c r="M33" s="470"/>
      <c r="N33" s="470"/>
    </row>
    <row r="34" spans="2:14" ht="13.5">
      <c r="C34" s="469" t="s">
        <v>299</v>
      </c>
      <c r="D34" s="471"/>
      <c r="E34" s="471"/>
      <c r="F34" s="471"/>
      <c r="G34" s="471"/>
      <c r="H34" s="471"/>
      <c r="I34" s="472"/>
      <c r="J34" s="470"/>
      <c r="K34" s="470"/>
      <c r="L34" s="470"/>
      <c r="M34" s="470"/>
      <c r="N34" s="470"/>
    </row>
    <row r="37" spans="2:14" ht="15.75">
      <c r="J37" s="789"/>
      <c r="K37" s="789"/>
      <c r="L37" s="789"/>
    </row>
    <row r="41" spans="2:14">
      <c r="B41" s="245"/>
    </row>
  </sheetData>
  <sheetProtection password="CF4C" sheet="1" objects="1" scenarios="1"/>
  <customSheetViews>
    <customSheetView guid="{E9B43C8C-734F-433D-AD37-344F9303B5CC}" scale="90" showPageBreaks="1" showGridLines="0" fitToPage="1" printArea="1" showRuler="0">
      <pageMargins left="0.78740157480314965" right="0.78740157480314965" top="0.98425196850393704" bottom="0.98425196850393704" header="0" footer="0"/>
      <printOptions horizontalCentered="1"/>
      <pageSetup paperSize="129" orientation="landscape" r:id="rId1"/>
      <headerFooter alignWithMargins="0"/>
    </customSheetView>
    <customSheetView guid="{9BF398E0-33D8-4E64-94A2-9B7C822C8383}" scale="90" showPageBreaks="1" showGridLines="0" fitToPage="1" printArea="1" showRuler="0">
      <pageMargins left="0.78740157480314965" right="0.78740157480314965" top="0.98425196850393704" bottom="0.98425196850393704" header="0" footer="0"/>
      <printOptions horizontalCentered="1"/>
      <pageSetup paperSize="129" orientation="landscape" r:id="rId2"/>
      <headerFooter alignWithMargins="0"/>
    </customSheetView>
    <customSheetView guid="{48A744A8-8180-4A3B-8108-49EF41816969}" showGridLines="0" fitToPage="1" showRuler="0" topLeftCell="A24">
      <selection activeCell="I40" sqref="I40"/>
      <pageMargins left="0.78740157480314965" right="0.78740157480314965" top="0.98425196850393704" bottom="0.98425196850393704" header="0" footer="0"/>
      <printOptions horizontalCentered="1"/>
      <pageSetup paperSize="129" scale="95" orientation="landscape" r:id="rId3"/>
      <headerFooter alignWithMargins="0"/>
    </customSheetView>
    <customSheetView guid="{9E220BD5-A526-40BD-8239-3A0461590922}" scale="90" showPageBreaks="1" showGridLines="0" fitToPage="1" printArea="1" showRuler="0">
      <pageMargins left="0.78740157480314965" right="0.78740157480314965" top="0.98425196850393704" bottom="0.98425196850393704" header="0" footer="0"/>
      <printOptions horizontalCentered="1"/>
      <pageSetup paperSize="129" orientation="landscape" r:id="rId4"/>
      <headerFooter alignWithMargins="0"/>
    </customSheetView>
  </customSheetViews>
  <mergeCells count="1">
    <mergeCell ref="B2:N2"/>
  </mergeCells>
  <phoneticPr fontId="9" type="noConversion"/>
  <printOptions horizontalCentered="1"/>
  <pageMargins left="0.51181102362204722" right="0.55118110236220474" top="0.39370078740157483" bottom="0.51181102362204722" header="0" footer="0"/>
  <pageSetup paperSize="129" scale="76" orientation="landscape" r:id="rId5"/>
  <headerFooter alignWithMargins="0"/>
  <drawing r:id="rId6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B1:Q46"/>
  <sheetViews>
    <sheetView showGridLines="0" zoomScale="85" zoomScaleNormal="85" zoomScaleSheetLayoutView="95" workbookViewId="0">
      <selection activeCell="U16" sqref="U16"/>
    </sheetView>
  </sheetViews>
  <sheetFormatPr baseColWidth="10" defaultRowHeight="12.75"/>
  <cols>
    <col min="1" max="1" width="11.42578125" style="720"/>
    <col min="2" max="2" width="2.28515625" style="720" customWidth="1"/>
    <col min="3" max="3" width="10.28515625" style="720" customWidth="1"/>
    <col min="4" max="5" width="11.42578125" style="720"/>
    <col min="6" max="7" width="27.85546875" style="720" customWidth="1"/>
    <col min="8" max="8" width="22.140625" style="720" customWidth="1"/>
    <col min="9" max="9" width="1.140625" style="720" customWidth="1"/>
    <col min="10" max="10" width="16" style="720" customWidth="1"/>
    <col min="11" max="11" width="10.7109375" style="720" bestFit="1" customWidth="1"/>
    <col min="12" max="13" width="7.7109375" style="720" hidden="1" customWidth="1"/>
    <col min="14" max="14" width="1.5703125" style="722" customWidth="1"/>
    <col min="15" max="15" width="1.140625" style="722" customWidth="1"/>
    <col min="16" max="16" width="11.42578125" style="720"/>
    <col min="17" max="17" width="11.42578125" style="994"/>
    <col min="18" max="16384" width="11.42578125" style="720"/>
  </cols>
  <sheetData>
    <row r="1" spans="2:17" ht="8.25" customHeight="1" thickBot="1"/>
    <row r="2" spans="2:17" s="728" customFormat="1" ht="22.5" customHeight="1" thickBot="1">
      <c r="B2" s="1196" t="s">
        <v>553</v>
      </c>
      <c r="C2" s="1197"/>
      <c r="D2" s="1197"/>
      <c r="E2" s="1197"/>
      <c r="F2" s="1197"/>
      <c r="G2" s="1197"/>
      <c r="H2" s="1198"/>
      <c r="I2" s="1198"/>
      <c r="J2" s="1198"/>
      <c r="K2" s="1198"/>
      <c r="L2" s="1199"/>
      <c r="M2" s="758"/>
      <c r="N2" s="727"/>
      <c r="O2" s="727"/>
      <c r="Q2" s="995"/>
    </row>
    <row r="3" spans="2:17" ht="37.5" customHeight="1" thickBot="1">
      <c r="B3" s="721"/>
      <c r="C3" s="721"/>
      <c r="D3" s="721"/>
      <c r="E3" s="721"/>
      <c r="F3" s="721"/>
      <c r="G3" s="721"/>
      <c r="H3" s="721"/>
      <c r="I3" s="721"/>
      <c r="J3" s="833" t="s">
        <v>535</v>
      </c>
      <c r="K3" s="834" t="s">
        <v>543</v>
      </c>
      <c r="L3" s="721"/>
      <c r="M3" s="721"/>
      <c r="O3" s="727"/>
    </row>
    <row r="4" spans="2:17" ht="15" customHeight="1" thickBot="1">
      <c r="J4" s="759" t="s">
        <v>14</v>
      </c>
      <c r="K4" s="756">
        <v>0.98892018266868154</v>
      </c>
      <c r="L4" s="723">
        <v>0.98241852092494186</v>
      </c>
      <c r="M4" s="720">
        <v>0.93117076163211376</v>
      </c>
      <c r="N4" s="724"/>
      <c r="O4" s="724"/>
      <c r="Q4" s="996">
        <v>0.86796102156650579</v>
      </c>
    </row>
    <row r="5" spans="2:17" ht="15" customHeight="1" thickBot="1">
      <c r="J5" s="777" t="s">
        <v>11</v>
      </c>
      <c r="K5" s="757">
        <v>0.97446967644133187</v>
      </c>
      <c r="L5" s="722">
        <v>0.98593853467046511</v>
      </c>
      <c r="M5" s="720">
        <v>0.98131646331138234</v>
      </c>
      <c r="N5" s="724"/>
      <c r="O5" s="724"/>
      <c r="Q5" s="996">
        <v>0.86796102156650579</v>
      </c>
    </row>
    <row r="6" spans="2:17" ht="15" customHeight="1" thickBot="1">
      <c r="J6" s="759" t="s">
        <v>6</v>
      </c>
      <c r="K6" s="756">
        <v>0.96812050013955675</v>
      </c>
      <c r="L6" s="724">
        <v>0.96865242972075449</v>
      </c>
      <c r="M6" s="720">
        <v>0.94543011211777062</v>
      </c>
      <c r="N6" s="724"/>
      <c r="O6" s="724"/>
      <c r="Q6" s="996">
        <v>0.86796102156650579</v>
      </c>
    </row>
    <row r="7" spans="2:17" ht="15" customHeight="1" thickBot="1">
      <c r="J7" s="777" t="s">
        <v>19</v>
      </c>
      <c r="K7" s="757">
        <v>0.96771972745672652</v>
      </c>
      <c r="L7" s="724">
        <v>0.95802171438739225</v>
      </c>
      <c r="M7" s="720">
        <v>0.91232109270377826</v>
      </c>
      <c r="N7" s="724"/>
      <c r="O7" s="724"/>
      <c r="Q7" s="996">
        <v>0.86796102156650579</v>
      </c>
    </row>
    <row r="8" spans="2:17" ht="15" customHeight="1" thickBot="1">
      <c r="J8" s="759" t="s">
        <v>23</v>
      </c>
      <c r="K8" s="756">
        <v>0.96009569612484513</v>
      </c>
      <c r="L8" s="724">
        <v>0.9527696399637311</v>
      </c>
      <c r="M8" s="720">
        <v>0.91050035646061056</v>
      </c>
      <c r="N8" s="724"/>
      <c r="O8" s="724"/>
      <c r="Q8" s="996">
        <v>0.86796102156650579</v>
      </c>
    </row>
    <row r="9" spans="2:17" ht="15" customHeight="1" thickBot="1">
      <c r="J9" s="777" t="s">
        <v>22</v>
      </c>
      <c r="K9" s="757">
        <v>0.95686090215073061</v>
      </c>
      <c r="L9" s="724">
        <v>0.93352596293129431</v>
      </c>
      <c r="M9" s="720">
        <v>0.84428055484530806</v>
      </c>
      <c r="N9" s="724"/>
      <c r="O9" s="724"/>
      <c r="Q9" s="996">
        <v>0.86796102156650579</v>
      </c>
    </row>
    <row r="10" spans="2:17" ht="15" customHeight="1" thickBot="1">
      <c r="J10" s="759" t="s">
        <v>24</v>
      </c>
      <c r="K10" s="756">
        <v>0.95220701079894321</v>
      </c>
      <c r="L10" s="724">
        <v>0.90936251224197573</v>
      </c>
      <c r="M10" s="720">
        <v>0.78805143474654404</v>
      </c>
      <c r="N10" s="724"/>
      <c r="O10" s="724"/>
      <c r="Q10" s="996">
        <v>0.86796102156650579</v>
      </c>
    </row>
    <row r="11" spans="2:17" ht="15" customHeight="1" thickBot="1">
      <c r="J11" s="777" t="s">
        <v>30</v>
      </c>
      <c r="K11" s="757">
        <v>0.94629689809575235</v>
      </c>
      <c r="L11" s="724">
        <v>0.91513052478464896</v>
      </c>
      <c r="M11" s="720">
        <v>0.83295309469594647</v>
      </c>
      <c r="N11" s="724"/>
      <c r="O11" s="724"/>
      <c r="Q11" s="996">
        <v>0.86796102156650579</v>
      </c>
    </row>
    <row r="12" spans="2:17" ht="15" customHeight="1" thickBot="1">
      <c r="J12" s="759" t="s">
        <v>223</v>
      </c>
      <c r="K12" s="756">
        <v>0.92827196385542199</v>
      </c>
      <c r="L12" s="724">
        <v>0.92590138786867293</v>
      </c>
      <c r="M12" s="720">
        <v>0.83575765804147029</v>
      </c>
      <c r="N12" s="724"/>
      <c r="O12" s="724"/>
      <c r="Q12" s="996">
        <v>0.86796102156650579</v>
      </c>
    </row>
    <row r="13" spans="2:17" ht="15" customHeight="1" thickBot="1">
      <c r="J13" s="777" t="s">
        <v>29</v>
      </c>
      <c r="K13" s="757">
        <v>0.92748000021151134</v>
      </c>
      <c r="L13" s="724">
        <v>0.897048911897388</v>
      </c>
      <c r="M13" s="720">
        <v>0.79945550924770004</v>
      </c>
      <c r="N13" s="724"/>
      <c r="O13" s="724"/>
      <c r="Q13" s="996">
        <v>0.86796102156650579</v>
      </c>
    </row>
    <row r="14" spans="2:17" ht="15" customHeight="1" thickBot="1">
      <c r="J14" s="759" t="s">
        <v>8</v>
      </c>
      <c r="K14" s="756">
        <v>0.91646432641377895</v>
      </c>
      <c r="L14" s="724">
        <v>0.90625580963004271</v>
      </c>
      <c r="M14" s="720">
        <v>0.81940824581010274</v>
      </c>
      <c r="N14" s="724"/>
      <c r="O14" s="724"/>
      <c r="Q14" s="996">
        <v>0.86796102156650579</v>
      </c>
    </row>
    <row r="15" spans="2:17" ht="15" customHeight="1" thickBot="1">
      <c r="J15" s="777" t="s">
        <v>32</v>
      </c>
      <c r="K15" s="757">
        <v>0.91380291335830732</v>
      </c>
      <c r="L15" s="724">
        <v>0.91247361953031703</v>
      </c>
      <c r="M15" s="720">
        <v>0.84925831307032795</v>
      </c>
      <c r="N15" s="724"/>
      <c r="O15" s="724"/>
      <c r="Q15" s="996">
        <v>0.86796102156650579</v>
      </c>
    </row>
    <row r="16" spans="2:17" ht="15" customHeight="1" thickBot="1">
      <c r="J16" s="759" t="s">
        <v>13</v>
      </c>
      <c r="K16" s="756">
        <v>0.9018218495096807</v>
      </c>
      <c r="L16" s="724">
        <v>0.89784644325522345</v>
      </c>
      <c r="M16" s="720">
        <v>0.84345656298043525</v>
      </c>
      <c r="N16" s="724"/>
      <c r="O16" s="724"/>
      <c r="Q16" s="996">
        <v>0.86796102156650579</v>
      </c>
    </row>
    <row r="17" spans="3:17" ht="15" customHeight="1" thickBot="1">
      <c r="J17" s="777" t="s">
        <v>15</v>
      </c>
      <c r="K17" s="757">
        <v>0.89329972740707886</v>
      </c>
      <c r="L17" s="724">
        <v>0.86375533333280397</v>
      </c>
      <c r="M17" s="720">
        <v>0.73118105100734132</v>
      </c>
      <c r="N17" s="724"/>
      <c r="O17" s="724"/>
      <c r="Q17" s="996">
        <v>0.86796102156650579</v>
      </c>
    </row>
    <row r="18" spans="3:17" ht="15" customHeight="1" thickBot="1">
      <c r="J18" s="759" t="s">
        <v>35</v>
      </c>
      <c r="K18" s="756">
        <v>0.8913364923181496</v>
      </c>
      <c r="L18" s="724">
        <v>0.89469487738403097</v>
      </c>
      <c r="M18" s="720">
        <v>0.81262401471147216</v>
      </c>
      <c r="N18" s="724"/>
      <c r="O18" s="724"/>
      <c r="Q18" s="996">
        <v>0.86796102156650579</v>
      </c>
    </row>
    <row r="19" spans="3:17" ht="15" customHeight="1" thickBot="1">
      <c r="J19" s="777" t="s">
        <v>224</v>
      </c>
      <c r="K19" s="757">
        <v>0.88668781964635623</v>
      </c>
      <c r="L19" s="724">
        <v>0.88911048986057184</v>
      </c>
      <c r="M19" s="720">
        <v>0.80730741344295875</v>
      </c>
      <c r="N19" s="724"/>
      <c r="O19" s="724"/>
      <c r="Q19" s="996">
        <v>0.86796102156650579</v>
      </c>
    </row>
    <row r="20" spans="3:17" ht="15" customHeight="1" thickBot="1">
      <c r="J20" s="759" t="s">
        <v>20</v>
      </c>
      <c r="K20" s="756">
        <v>0.88079390552577341</v>
      </c>
      <c r="L20" s="724">
        <v>0.85385652901588027</v>
      </c>
      <c r="M20" s="720">
        <v>0.78183505779043205</v>
      </c>
      <c r="N20" s="724"/>
      <c r="O20" s="724"/>
      <c r="Q20" s="996">
        <v>0.86796102156650579</v>
      </c>
    </row>
    <row r="21" spans="3:17" ht="15" customHeight="1" thickBot="1">
      <c r="J21" s="777" t="s">
        <v>37</v>
      </c>
      <c r="K21" s="757">
        <v>0.87818291163492135</v>
      </c>
      <c r="L21" s="724">
        <v>0.85768395290137789</v>
      </c>
      <c r="M21" s="720">
        <v>0.7532275672135117</v>
      </c>
      <c r="N21" s="724"/>
      <c r="O21" s="724"/>
      <c r="Q21" s="996">
        <v>0.86796102156650579</v>
      </c>
    </row>
    <row r="22" spans="3:17" ht="15" customHeight="1" thickBot="1">
      <c r="J22" s="759" t="s">
        <v>16</v>
      </c>
      <c r="K22" s="756">
        <v>0.86608959385222806</v>
      </c>
      <c r="L22" s="724">
        <v>0.85573274993151149</v>
      </c>
      <c r="M22" s="720">
        <v>0.73715548440227763</v>
      </c>
      <c r="N22" s="724"/>
      <c r="O22" s="724"/>
      <c r="Q22" s="996">
        <v>0.86796102156650579</v>
      </c>
    </row>
    <row r="23" spans="3:17" ht="15" customHeight="1" thickBot="1">
      <c r="C23" s="725"/>
      <c r="J23" s="777" t="s">
        <v>27</v>
      </c>
      <c r="K23" s="757">
        <v>0.84819079501973083</v>
      </c>
      <c r="L23" s="724">
        <v>0.84180925426727993</v>
      </c>
      <c r="M23" s="720">
        <v>0.69312889482929474</v>
      </c>
      <c r="N23" s="724"/>
      <c r="O23" s="724"/>
      <c r="Q23" s="996">
        <v>0.86796102156650579</v>
      </c>
    </row>
    <row r="24" spans="3:17" ht="15" customHeight="1" thickBot="1">
      <c r="J24" s="759" t="s">
        <v>31</v>
      </c>
      <c r="K24" s="756">
        <v>0.84548977471225972</v>
      </c>
      <c r="L24" s="724">
        <v>0.82596553520147697</v>
      </c>
      <c r="M24" s="720">
        <v>0.71765042719822902</v>
      </c>
      <c r="N24" s="724"/>
      <c r="O24" s="724"/>
      <c r="Q24" s="996">
        <v>0.86796102156650579</v>
      </c>
    </row>
    <row r="25" spans="3:17" ht="15" customHeight="1" thickBot="1">
      <c r="J25" s="777" t="s">
        <v>225</v>
      </c>
      <c r="K25" s="757">
        <v>0.84362311732712303</v>
      </c>
      <c r="L25" s="724">
        <v>0.84232151127612942</v>
      </c>
      <c r="M25" s="720">
        <v>0.72882800203084319</v>
      </c>
      <c r="N25" s="724"/>
      <c r="O25" s="724"/>
      <c r="Q25" s="996">
        <v>0.86796102156650579</v>
      </c>
    </row>
    <row r="26" spans="3:17" ht="15" customHeight="1" thickBot="1">
      <c r="J26" s="759" t="s">
        <v>7</v>
      </c>
      <c r="K26" s="756">
        <v>0.84327445269285339</v>
      </c>
      <c r="L26" s="724">
        <v>0.82382776622587328</v>
      </c>
      <c r="M26" s="720">
        <v>0.73363285013853974</v>
      </c>
      <c r="N26" s="724"/>
      <c r="O26" s="724"/>
      <c r="Q26" s="996">
        <v>0.86796102156650579</v>
      </c>
    </row>
    <row r="27" spans="3:17" ht="15" customHeight="1" thickBot="1">
      <c r="J27" s="777" t="s">
        <v>18</v>
      </c>
      <c r="K27" s="757">
        <v>0.81219058314795778</v>
      </c>
      <c r="L27" s="724">
        <v>0.7908360875796282</v>
      </c>
      <c r="M27" s="720">
        <v>0.63955722801748094</v>
      </c>
      <c r="N27" s="724"/>
      <c r="O27" s="724"/>
      <c r="Q27" s="996">
        <v>0.86796102156650579</v>
      </c>
    </row>
    <row r="28" spans="3:17" ht="15" customHeight="1" thickBot="1">
      <c r="J28" s="759" t="s">
        <v>262</v>
      </c>
      <c r="K28" s="756">
        <v>0.80334137988091048</v>
      </c>
      <c r="L28" s="724">
        <v>0.79033998226908142</v>
      </c>
      <c r="M28" s="720">
        <v>0.62834668963954043</v>
      </c>
      <c r="N28" s="724"/>
      <c r="O28" s="724"/>
      <c r="Q28" s="996">
        <v>0.86796102156650579</v>
      </c>
    </row>
    <row r="29" spans="3:17" ht="15" customHeight="1" thickBot="1">
      <c r="J29" s="777" t="s">
        <v>36</v>
      </c>
      <c r="K29" s="757">
        <v>0.80301518733556365</v>
      </c>
      <c r="L29" s="724">
        <v>0.77694012526652834</v>
      </c>
      <c r="M29" s="720">
        <v>0.64617509667309236</v>
      </c>
      <c r="N29" s="724"/>
      <c r="O29" s="724"/>
      <c r="Q29" s="996">
        <v>0.86796102156650579</v>
      </c>
    </row>
    <row r="30" spans="3:17" ht="15" customHeight="1" thickBot="1">
      <c r="C30" s="725"/>
      <c r="J30" s="759" t="s">
        <v>28</v>
      </c>
      <c r="K30" s="756">
        <v>0.77707007332630407</v>
      </c>
      <c r="L30" s="724">
        <v>0.78390363877492375</v>
      </c>
      <c r="M30" s="720">
        <v>0.60815606461995908</v>
      </c>
      <c r="N30" s="724"/>
      <c r="O30" s="724"/>
      <c r="Q30" s="996">
        <v>0.86796102156650579</v>
      </c>
    </row>
    <row r="31" spans="3:17" ht="15" customHeight="1" thickBot="1">
      <c r="J31" s="777" t="s">
        <v>9</v>
      </c>
      <c r="K31" s="757">
        <v>0.77594986869022753</v>
      </c>
      <c r="L31" s="724">
        <v>0.74242355503130386</v>
      </c>
      <c r="M31" s="720">
        <v>0.59183096591656104</v>
      </c>
      <c r="N31" s="724"/>
      <c r="O31" s="724"/>
      <c r="Q31" s="996">
        <v>0.86796102156650579</v>
      </c>
    </row>
    <row r="32" spans="3:17" ht="15" customHeight="1" thickBot="1">
      <c r="J32" s="759" t="s">
        <v>12</v>
      </c>
      <c r="K32" s="756">
        <v>0.75732385265905389</v>
      </c>
      <c r="L32" s="724">
        <v>0.74710214332998115</v>
      </c>
      <c r="M32" s="720">
        <v>0.59335801743850181</v>
      </c>
      <c r="N32" s="724"/>
      <c r="O32" s="724"/>
      <c r="Q32" s="996">
        <v>0.86796102156650579</v>
      </c>
    </row>
    <row r="33" spans="2:17" ht="15" customHeight="1" thickBot="1">
      <c r="C33" s="726"/>
      <c r="J33" s="777" t="s">
        <v>17</v>
      </c>
      <c r="K33" s="757">
        <v>0.71877288174484022</v>
      </c>
      <c r="L33" s="724">
        <v>0.68244332156597687</v>
      </c>
      <c r="M33" s="720">
        <v>0.54595571589277148</v>
      </c>
      <c r="N33" s="724"/>
      <c r="O33" s="724"/>
      <c r="Q33" s="996">
        <v>0.86796102156650579</v>
      </c>
    </row>
    <row r="34" spans="2:17" ht="15" customHeight="1" thickBot="1">
      <c r="J34" s="759" t="s">
        <v>34</v>
      </c>
      <c r="K34" s="756">
        <v>0.67603367301169204</v>
      </c>
      <c r="L34" s="724">
        <v>0.6417631702935267</v>
      </c>
      <c r="M34" s="720">
        <v>0.49690883174024586</v>
      </c>
      <c r="N34" s="724"/>
      <c r="O34" s="724"/>
      <c r="Q34" s="996">
        <v>0.86796102156650579</v>
      </c>
    </row>
    <row r="35" spans="2:17" ht="15" customHeight="1" thickBot="1">
      <c r="J35" s="777" t="s">
        <v>25</v>
      </c>
      <c r="K35" s="757">
        <v>0.66160480050946546</v>
      </c>
      <c r="L35" s="724">
        <v>0.59995406297606368</v>
      </c>
      <c r="M35" s="720">
        <v>0.42908597950919108</v>
      </c>
      <c r="N35" s="724"/>
      <c r="O35" s="724"/>
      <c r="Q35" s="996">
        <v>0.86796102156650579</v>
      </c>
    </row>
    <row r="36" spans="2:17" ht="16.5" customHeight="1" thickTop="1" thickBot="1">
      <c r="B36" s="467"/>
      <c r="J36" s="835" t="s">
        <v>101</v>
      </c>
      <c r="K36" s="836">
        <v>0.86796102156650579</v>
      </c>
      <c r="L36" s="720">
        <v>0.85616810599535265</v>
      </c>
      <c r="M36" s="467">
        <v>0.76178809624843402</v>
      </c>
      <c r="N36" s="729"/>
      <c r="O36" s="729"/>
    </row>
    <row r="37" spans="2:17" ht="13.5" thickTop="1">
      <c r="B37" s="469" t="s">
        <v>542</v>
      </c>
    </row>
    <row r="39" spans="2:17">
      <c r="C39" s="726"/>
    </row>
    <row r="46" spans="2:17">
      <c r="C46" s="1178" t="s">
        <v>527</v>
      </c>
      <c r="D46" s="1178"/>
      <c r="E46" s="1178"/>
      <c r="F46" s="1178"/>
      <c r="G46" s="1178"/>
      <c r="H46" s="1178"/>
      <c r="I46" s="1178"/>
    </row>
  </sheetData>
  <sheetProtection password="CF4C" sheet="1" objects="1" scenarios="1"/>
  <sortState ref="J4:K35">
    <sortCondition descending="1" ref="K4:K35"/>
  </sortState>
  <mergeCells count="2">
    <mergeCell ref="C46:I46"/>
    <mergeCell ref="B2:L2"/>
  </mergeCells>
  <printOptions horizontalCentered="1"/>
  <pageMargins left="0.19685039370078741" right="0.19685039370078741" top="0.59055118110236227" bottom="0.39370078740157483" header="0" footer="0"/>
  <pageSetup scale="93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66" enableFormatConditionsCalculation="0">
    <tabColor rgb="FF669900"/>
    <pageSetUpPr fitToPage="1"/>
  </sheetPr>
  <dimension ref="A1:L49"/>
  <sheetViews>
    <sheetView showGridLines="0" zoomScaleSheetLayoutView="100" workbookViewId="0">
      <selection activeCell="F29" sqref="F29"/>
    </sheetView>
  </sheetViews>
  <sheetFormatPr baseColWidth="10" defaultRowHeight="12.75"/>
  <cols>
    <col min="1" max="1" width="1.7109375" customWidth="1"/>
    <col min="2" max="2" width="12.7109375" customWidth="1"/>
    <col min="3" max="3" width="20.7109375" customWidth="1"/>
    <col min="4" max="6" width="14" bestFit="1" customWidth="1"/>
    <col min="7" max="7" width="12.7109375" customWidth="1"/>
    <col min="8" max="8" width="1.7109375" customWidth="1"/>
    <col min="10" max="12" width="4.42578125" bestFit="1" customWidth="1"/>
  </cols>
  <sheetData>
    <row r="1" spans="1:12" s="46" customFormat="1" ht="12" customHeight="1">
      <c r="A1" s="261"/>
      <c r="B1" s="259"/>
      <c r="C1" s="260"/>
      <c r="D1" s="260"/>
      <c r="E1" s="260"/>
      <c r="F1" s="260"/>
      <c r="G1" s="260"/>
      <c r="H1" s="261"/>
    </row>
    <row r="2" spans="1:12" ht="18" customHeight="1" thickBot="1">
      <c r="A2" s="263"/>
      <c r="B2" s="1187" t="s">
        <v>554</v>
      </c>
      <c r="C2" s="1187"/>
      <c r="D2" s="1187"/>
      <c r="E2" s="1187"/>
      <c r="F2" s="1187"/>
      <c r="G2" s="1187"/>
      <c r="H2" s="263"/>
    </row>
    <row r="3" spans="1:12" ht="18" customHeight="1" thickBot="1">
      <c r="A3" s="263"/>
      <c r="B3" s="1189" t="s">
        <v>256</v>
      </c>
      <c r="C3" s="1189" t="s">
        <v>301</v>
      </c>
      <c r="D3" s="1191" t="s">
        <v>302</v>
      </c>
      <c r="E3" s="1192"/>
      <c r="F3" s="1193"/>
      <c r="G3" s="1189" t="s">
        <v>304</v>
      </c>
      <c r="H3" s="263"/>
    </row>
    <row r="4" spans="1:12" ht="24" customHeight="1" thickBot="1">
      <c r="A4" s="263"/>
      <c r="B4" s="1189"/>
      <c r="C4" s="1189"/>
      <c r="D4" s="430" t="s">
        <v>103</v>
      </c>
      <c r="E4" s="430" t="s">
        <v>104</v>
      </c>
      <c r="F4" s="430" t="s">
        <v>303</v>
      </c>
      <c r="G4" s="1190"/>
      <c r="H4" s="263"/>
    </row>
    <row r="5" spans="1:12" ht="15" customHeight="1" thickBot="1">
      <c r="A5" s="263"/>
      <c r="B5" s="568">
        <v>1990</v>
      </c>
      <c r="C5" s="569">
        <v>57.298850000000002</v>
      </c>
      <c r="D5" s="569">
        <v>45.268957999999998</v>
      </c>
      <c r="E5" s="569">
        <v>12.029892000000004</v>
      </c>
      <c r="F5" s="569"/>
      <c r="G5" s="569">
        <v>79.005002718204636</v>
      </c>
      <c r="H5" s="263"/>
    </row>
    <row r="6" spans="1:12" ht="15" customHeight="1" thickBot="1">
      <c r="A6" s="263"/>
      <c r="B6" s="775">
        <v>1995</v>
      </c>
      <c r="C6" s="776">
        <v>66.695113000000006</v>
      </c>
      <c r="D6" s="776">
        <v>58.549934</v>
      </c>
      <c r="E6" s="776">
        <v>8.1451790000000059</v>
      </c>
      <c r="F6" s="776">
        <v>13.280976000000003</v>
      </c>
      <c r="G6" s="776">
        <v>87.787442537206587</v>
      </c>
      <c r="H6" s="263"/>
    </row>
    <row r="7" spans="1:12" ht="15" customHeight="1" thickBot="1">
      <c r="A7" s="263"/>
      <c r="B7" s="568">
        <v>2000</v>
      </c>
      <c r="C7" s="569">
        <v>71.141889000000006</v>
      </c>
      <c r="D7" s="569">
        <v>63.758687000000002</v>
      </c>
      <c r="E7" s="569">
        <v>7.3832020000000043</v>
      </c>
      <c r="F7" s="569">
        <v>5.2087530000000015</v>
      </c>
      <c r="G7" s="569">
        <v>89.621863990707354</v>
      </c>
      <c r="H7" s="263"/>
    </row>
    <row r="8" spans="1:12" ht="15" customHeight="1" thickBot="1">
      <c r="A8" s="263"/>
      <c r="B8" s="775">
        <v>2005</v>
      </c>
      <c r="C8" s="776">
        <v>76.093575999999999</v>
      </c>
      <c r="D8" s="776">
        <v>71.883386999999999</v>
      </c>
      <c r="E8" s="776">
        <v>4.2101889999999997</v>
      </c>
      <c r="F8" s="776">
        <v>8.1246999999999971</v>
      </c>
      <c r="G8" s="776">
        <v>94.467090099695142</v>
      </c>
      <c r="H8" s="263"/>
    </row>
    <row r="9" spans="1:12" ht="15" customHeight="1" thickBot="1">
      <c r="A9" s="263"/>
      <c r="B9" s="568" t="s">
        <v>134</v>
      </c>
      <c r="C9" s="569">
        <v>76.327029584121348</v>
      </c>
      <c r="D9" s="569">
        <v>72.2</v>
      </c>
      <c r="E9" s="569">
        <v>4.0999999999999996</v>
      </c>
      <c r="F9" s="569">
        <v>0.3</v>
      </c>
      <c r="G9" s="569">
        <v>94.592964502079994</v>
      </c>
      <c r="H9" s="263"/>
    </row>
    <row r="10" spans="1:12" ht="15" customHeight="1" thickBot="1">
      <c r="A10" s="263"/>
      <c r="B10" s="775" t="s">
        <v>208</v>
      </c>
      <c r="C10" s="776">
        <v>77.075192753943298</v>
      </c>
      <c r="D10" s="776">
        <v>73</v>
      </c>
      <c r="E10" s="776">
        <v>4.0989768115645973</v>
      </c>
      <c r="F10" s="776">
        <v>0.77621594237869829</v>
      </c>
      <c r="G10" s="776">
        <v>94.681846823724115</v>
      </c>
      <c r="H10" s="263"/>
    </row>
    <row r="11" spans="1:12" ht="15" customHeight="1" thickBot="1">
      <c r="A11" s="263"/>
      <c r="B11" s="568" t="s">
        <v>227</v>
      </c>
      <c r="C11" s="569">
        <v>77.990255088976852</v>
      </c>
      <c r="D11" s="569">
        <v>73.439904185398049</v>
      </c>
      <c r="E11" s="569">
        <v>4.5503509035788028</v>
      </c>
      <c r="F11" s="569">
        <v>0.43990418539804921</v>
      </c>
      <c r="G11" s="569">
        <v>94.165487856928493</v>
      </c>
      <c r="H11" s="263"/>
    </row>
    <row r="12" spans="1:12" ht="15" customHeight="1" thickBot="1">
      <c r="A12" s="263"/>
      <c r="B12" s="775" t="s">
        <v>259</v>
      </c>
      <c r="C12" s="776">
        <v>78.843300401052375</v>
      </c>
      <c r="D12" s="776">
        <v>74.048963583566049</v>
      </c>
      <c r="E12" s="776">
        <v>4.7943368174863252</v>
      </c>
      <c r="F12" s="776">
        <v>1.0489635835660494</v>
      </c>
      <c r="G12" s="776">
        <v>93.919157628994526</v>
      </c>
      <c r="H12" s="263"/>
    </row>
    <row r="13" spans="1:12" ht="15" customHeight="1" thickBot="1">
      <c r="A13" s="263"/>
      <c r="B13" s="773" t="s">
        <v>266</v>
      </c>
      <c r="C13" s="774">
        <v>79.684191713695071</v>
      </c>
      <c r="D13" s="774">
        <v>74.807584729638634</v>
      </c>
      <c r="E13" s="774">
        <v>4.876606984056437</v>
      </c>
      <c r="F13" s="774">
        <v>1.8075847296386343</v>
      </c>
      <c r="G13" s="774">
        <v>93.880082260760005</v>
      </c>
      <c r="H13" s="263"/>
      <c r="J13" s="78"/>
      <c r="K13" s="78"/>
      <c r="L13" s="78"/>
    </row>
    <row r="14" spans="1:12" ht="12" customHeight="1">
      <c r="A14" s="263"/>
      <c r="B14" s="1200" t="s">
        <v>122</v>
      </c>
      <c r="C14" s="1200"/>
      <c r="D14" s="1200"/>
      <c r="E14" s="1200"/>
      <c r="F14" s="1200"/>
      <c r="G14" s="1200"/>
      <c r="H14" s="273"/>
      <c r="I14" s="17"/>
      <c r="J14" s="79"/>
      <c r="K14" s="79"/>
      <c r="L14" s="54"/>
    </row>
    <row r="15" spans="1:12" ht="12" customHeight="1">
      <c r="A15" s="263"/>
      <c r="B15" s="1200" t="s">
        <v>212</v>
      </c>
      <c r="C15" s="1200"/>
      <c r="D15" s="1200"/>
      <c r="E15" s="1200"/>
      <c r="F15" s="1200"/>
      <c r="G15" s="1200"/>
      <c r="H15" s="263"/>
      <c r="J15" s="54"/>
      <c r="K15" s="54"/>
      <c r="L15" s="54"/>
    </row>
    <row r="16" spans="1:12" ht="12" customHeight="1">
      <c r="A16" s="263"/>
      <c r="B16" s="469" t="s">
        <v>299</v>
      </c>
      <c r="C16" s="469"/>
      <c r="D16" s="469"/>
      <c r="E16" s="469"/>
      <c r="F16" s="469"/>
      <c r="G16" s="469"/>
      <c r="H16" s="263"/>
      <c r="J16" s="54"/>
      <c r="K16" s="54"/>
      <c r="L16" s="54"/>
    </row>
    <row r="17" spans="1:8" ht="6" customHeight="1">
      <c r="A17" s="263"/>
      <c r="B17" s="264"/>
      <c r="C17" s="264"/>
      <c r="D17" s="264"/>
      <c r="E17" s="264"/>
      <c r="F17" s="264"/>
      <c r="G17" s="264"/>
      <c r="H17" s="263"/>
    </row>
    <row r="24" spans="1:8">
      <c r="B24" s="237"/>
    </row>
    <row r="31" spans="1:8">
      <c r="B31" s="237"/>
    </row>
    <row r="34" spans="2:2">
      <c r="B34" s="235"/>
    </row>
    <row r="42" spans="2:2">
      <c r="B42" s="235"/>
    </row>
    <row r="49" spans="2:2">
      <c r="B49" s="242"/>
    </row>
  </sheetData>
  <sheetProtection password="CF4C" sheet="1" objects="1" scenarios="1"/>
  <customSheetViews>
    <customSheetView guid="{E9B43C8C-734F-433D-AD37-344F9303B5CC}" showPageBreaks="1" showGridLines="0" showRuler="0">
      <selection activeCell="D12" sqref="D12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1"/>
      <headerFooter alignWithMargins="0"/>
    </customSheetView>
    <customSheetView guid="{9BF398E0-33D8-4E64-94A2-9B7C822C8383}" showPageBreaks="1" showGridLines="0" printArea="1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2"/>
      <headerFooter alignWithMargins="0"/>
    </customSheetView>
    <customSheetView guid="{6DCFE324-2DF9-4BB0-88BD-A4AD316C7A9E}" showPageBreaks="1" showGridLines="0" printArea="1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3"/>
      <headerFooter alignWithMargins="0"/>
    </customSheetView>
    <customSheetView guid="{48A744A8-8180-4A3B-8108-49EF41816969}" showGridLines="0" showRuler="0">
      <selection activeCell="B14" sqref="B14:G16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4"/>
      <headerFooter alignWithMargins="0"/>
    </customSheetView>
    <customSheetView guid="{9E220BD5-A526-40BD-8239-3A0461590922}" showGridLines="0" showRuler="0">
      <selection activeCell="E20" sqref="E20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5"/>
      <headerFooter alignWithMargins="0"/>
    </customSheetView>
  </customSheetViews>
  <mergeCells count="7">
    <mergeCell ref="B2:G2"/>
    <mergeCell ref="D3:F3"/>
    <mergeCell ref="B15:G15"/>
    <mergeCell ref="B14:G14"/>
    <mergeCell ref="G3:G4"/>
    <mergeCell ref="C3:C4"/>
    <mergeCell ref="B3:B4"/>
  </mergeCells>
  <phoneticPr fontId="9" type="noConversion"/>
  <printOptions horizontalCentered="1"/>
  <pageMargins left="0.19685039370078741" right="0.19685039370078741" top="0.59055118110236227" bottom="0.59055118110236227" header="0.39370078740157483" footer="0.39370078740157483"/>
  <pageSetup orientation="portrait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2:P58"/>
  <sheetViews>
    <sheetView showGridLines="0" topLeftCell="A14" zoomScale="70" zoomScaleNormal="70" workbookViewId="0">
      <selection activeCell="N33" sqref="N33"/>
    </sheetView>
  </sheetViews>
  <sheetFormatPr baseColWidth="10" defaultRowHeight="12.75"/>
  <cols>
    <col min="1" max="1" width="4.140625" style="361" customWidth="1"/>
    <col min="2" max="2" width="8.140625" style="361" customWidth="1"/>
    <col min="3" max="3" width="8" style="361" customWidth="1"/>
    <col min="4" max="7" width="20.28515625" style="361" bestFit="1" customWidth="1"/>
    <col min="8" max="8" width="21.7109375" style="361" bestFit="1" customWidth="1"/>
    <col min="9" max="11" width="11.42578125" style="361"/>
    <col min="12" max="12" width="16" style="361" customWidth="1"/>
    <col min="13" max="15" width="11.42578125" style="361"/>
    <col min="16" max="16" width="6.42578125" style="361" customWidth="1"/>
    <col min="17" max="16384" width="11.42578125" style="361"/>
  </cols>
  <sheetData>
    <row r="2" spans="2:13" ht="3" customHeight="1">
      <c r="B2" s="1005"/>
      <c r="C2" s="1006" t="s">
        <v>0</v>
      </c>
      <c r="D2" s="1006" t="s">
        <v>1</v>
      </c>
      <c r="E2" s="1006" t="s">
        <v>2</v>
      </c>
      <c r="F2" s="1006" t="s">
        <v>3</v>
      </c>
      <c r="G2" s="1006" t="s">
        <v>193</v>
      </c>
      <c r="H2" s="1006" t="s">
        <v>54</v>
      </c>
    </row>
    <row r="3" spans="2:13" ht="3" customHeight="1">
      <c r="B3" s="1005"/>
      <c r="C3" s="1007">
        <v>2002</v>
      </c>
      <c r="D3" s="1008">
        <v>2293</v>
      </c>
      <c r="E3" s="1008">
        <v>1146</v>
      </c>
      <c r="F3" s="1008">
        <v>695</v>
      </c>
      <c r="G3" s="1008">
        <v>6285</v>
      </c>
      <c r="H3" s="1009">
        <v>10419</v>
      </c>
      <c r="I3" s="363"/>
      <c r="J3" s="364"/>
      <c r="K3" s="365"/>
    </row>
    <row r="4" spans="2:13" ht="3" customHeight="1">
      <c r="B4" s="1005"/>
      <c r="C4" s="1007">
        <v>2003</v>
      </c>
      <c r="D4" s="1008">
        <v>4237.6822999400001</v>
      </c>
      <c r="E4" s="1008">
        <v>2147.5491737686311</v>
      </c>
      <c r="F4" s="1008">
        <v>1926.7617790868337</v>
      </c>
      <c r="G4" s="1008">
        <v>4121.4896577</v>
      </c>
      <c r="H4" s="1009">
        <v>12433.482910495464</v>
      </c>
      <c r="I4" s="363"/>
    </row>
    <row r="5" spans="2:13" ht="3" customHeight="1">
      <c r="B5" s="1005"/>
      <c r="C5" s="1010">
        <v>2004</v>
      </c>
      <c r="D5" s="1008">
        <v>4071.4475795640005</v>
      </c>
      <c r="E5" s="1008">
        <v>3035.4075303776663</v>
      </c>
      <c r="F5" s="1008">
        <v>1386.462534168094</v>
      </c>
      <c r="G5" s="1008">
        <v>4996.0458591836723</v>
      </c>
      <c r="H5" s="1009">
        <v>13489.363503293433</v>
      </c>
      <c r="I5" s="363"/>
    </row>
    <row r="6" spans="2:13" ht="3" customHeight="1">
      <c r="B6" s="1005"/>
      <c r="C6" s="1010">
        <v>2005</v>
      </c>
      <c r="D6" s="1008">
        <v>7085.2770266450079</v>
      </c>
      <c r="E6" s="1008">
        <v>4988.4086592830499</v>
      </c>
      <c r="F6" s="1008">
        <v>2917.7999596649224</v>
      </c>
      <c r="G6" s="1008">
        <v>6615.8627616949598</v>
      </c>
      <c r="H6" s="1009">
        <v>21607.34840728794</v>
      </c>
      <c r="I6" s="363"/>
    </row>
    <row r="7" spans="2:13" ht="3" customHeight="1">
      <c r="B7" s="1005"/>
      <c r="C7" s="1010">
        <v>2006</v>
      </c>
      <c r="D7" s="1008">
        <v>5771.3962180547605</v>
      </c>
      <c r="E7" s="1008">
        <v>2699.2173367951941</v>
      </c>
      <c r="F7" s="1008">
        <v>2817.3939391910171</v>
      </c>
      <c r="G7" s="1008">
        <v>4440.5147086100005</v>
      </c>
      <c r="H7" s="1009">
        <v>15728.522202650973</v>
      </c>
      <c r="I7" s="363"/>
    </row>
    <row r="8" spans="2:13" ht="3" customHeight="1">
      <c r="B8" s="1005"/>
      <c r="C8" s="1010">
        <v>2007</v>
      </c>
      <c r="D8" s="1008">
        <v>9432.6144038057009</v>
      </c>
      <c r="E8" s="1008">
        <v>4140.4379262282173</v>
      </c>
      <c r="F8" s="1008">
        <v>2714.1753860010426</v>
      </c>
      <c r="G8" s="1008">
        <v>5230.1596738640355</v>
      </c>
      <c r="H8" s="1009">
        <v>21517.387389898999</v>
      </c>
      <c r="I8" s="363"/>
    </row>
    <row r="9" spans="2:13" ht="3" customHeight="1">
      <c r="B9" s="1005"/>
      <c r="C9" s="1011">
        <v>2008</v>
      </c>
      <c r="D9" s="1012">
        <v>12318.741223349318</v>
      </c>
      <c r="E9" s="1012">
        <v>6279.1612472628185</v>
      </c>
      <c r="F9" s="1012">
        <v>3237.167335840531</v>
      </c>
      <c r="G9" s="1012">
        <v>4484.7309449354952</v>
      </c>
      <c r="H9" s="1009">
        <v>26319.80075138816</v>
      </c>
      <c r="I9" s="363"/>
    </row>
    <row r="10" spans="2:13" ht="3" customHeight="1">
      <c r="B10" s="1005"/>
      <c r="C10" s="1011">
        <v>2009</v>
      </c>
      <c r="D10" s="1012">
        <v>14815.279643046</v>
      </c>
      <c r="E10" s="1012">
        <v>5596.2922273299355</v>
      </c>
      <c r="F10" s="1012">
        <v>3642.5786518454997</v>
      </c>
      <c r="G10" s="1012">
        <v>6192.8062995294667</v>
      </c>
      <c r="H10" s="1009">
        <v>30246.9568217509</v>
      </c>
      <c r="I10" s="363"/>
    </row>
    <row r="11" spans="2:13" ht="3" customHeight="1">
      <c r="B11" s="362"/>
      <c r="I11" s="363"/>
    </row>
    <row r="15" spans="2:13" ht="23.25" customHeight="1">
      <c r="B15" s="1100" t="s">
        <v>275</v>
      </c>
      <c r="C15" s="1100"/>
      <c r="D15" s="1100"/>
      <c r="E15" s="1100"/>
      <c r="F15" s="1100"/>
      <c r="G15" s="1100"/>
      <c r="H15" s="1100"/>
      <c r="I15" s="1100"/>
      <c r="J15" s="1100"/>
      <c r="K15" s="1100"/>
      <c r="L15" s="1100"/>
      <c r="M15" s="366"/>
    </row>
    <row r="16" spans="2:13" ht="18.75" customHeight="1">
      <c r="B16" s="414" t="s">
        <v>276</v>
      </c>
      <c r="C16" s="405"/>
      <c r="D16" s="405"/>
      <c r="E16" s="405"/>
      <c r="F16" s="405"/>
      <c r="G16" s="405"/>
      <c r="H16" s="393"/>
      <c r="I16" s="405"/>
      <c r="J16" s="405"/>
      <c r="K16" s="405"/>
      <c r="L16" s="405"/>
    </row>
    <row r="21" spans="3:16" ht="14.25">
      <c r="P21" s="367"/>
    </row>
    <row r="22" spans="3:16" ht="14.25">
      <c r="P22" s="367"/>
    </row>
    <row r="23" spans="3:16" ht="14.25">
      <c r="P23" s="367"/>
    </row>
    <row r="24" spans="3:16" ht="14.25">
      <c r="P24" s="367"/>
    </row>
    <row r="25" spans="3:16" ht="14.25">
      <c r="P25" s="367"/>
    </row>
    <row r="26" spans="3:16" ht="14.25">
      <c r="C26" s="368"/>
      <c r="P26" s="367"/>
    </row>
    <row r="27" spans="3:16" ht="14.25">
      <c r="P27" s="367"/>
    </row>
    <row r="28" spans="3:16" ht="14.25">
      <c r="P28" s="367"/>
    </row>
    <row r="29" spans="3:16" ht="14.25">
      <c r="P29" s="367"/>
    </row>
    <row r="30" spans="3:16" ht="14.25">
      <c r="P30" s="367"/>
    </row>
    <row r="33" spans="3:3">
      <c r="C33" s="368"/>
    </row>
    <row r="36" spans="3:3">
      <c r="C36" s="369"/>
    </row>
    <row r="44" spans="3:3">
      <c r="C44" s="369"/>
    </row>
    <row r="50" spans="2:13" ht="18.75">
      <c r="C50" s="413"/>
    </row>
    <row r="51" spans="2:13" ht="27.75" customHeight="1"/>
    <row r="53" spans="2:13" ht="27.75" customHeight="1">
      <c r="B53" s="1103" t="s">
        <v>278</v>
      </c>
      <c r="C53" s="1104"/>
      <c r="D53" s="1104"/>
      <c r="E53" s="1104"/>
      <c r="F53" s="1104"/>
      <c r="G53" s="1104"/>
      <c r="H53" s="1104"/>
      <c r="I53" s="1104"/>
      <c r="J53" s="1104"/>
      <c r="K53" s="1104"/>
      <c r="L53" s="1104"/>
      <c r="M53" s="370"/>
    </row>
    <row r="54" spans="2:13" ht="17.25" customHeight="1">
      <c r="B54" s="1101" t="s">
        <v>277</v>
      </c>
      <c r="C54" s="1102"/>
      <c r="D54" s="1102"/>
      <c r="E54" s="1102"/>
      <c r="F54" s="1102"/>
      <c r="G54" s="1102"/>
      <c r="H54" s="1102"/>
      <c r="I54" s="1102"/>
      <c r="J54" s="1102"/>
      <c r="K54" s="1102"/>
      <c r="L54" s="1102"/>
      <c r="M54" s="371"/>
    </row>
    <row r="58" spans="2:13" ht="23.25">
      <c r="M58" s="372"/>
    </row>
  </sheetData>
  <sheetProtection password="CF4C" sheet="1" objects="1" scenarios="1" formatCells="0" formatColumns="0" formatRows="0"/>
  <mergeCells count="3">
    <mergeCell ref="B15:L15"/>
    <mergeCell ref="B54:L54"/>
    <mergeCell ref="B53:L53"/>
  </mergeCells>
  <printOptions horizontalCentered="1"/>
  <pageMargins left="0.19685039370078741" right="0.19685039370078741" top="0.39370078740157483" bottom="0.39370078740157483" header="0" footer="0.39370078740157483"/>
  <pageSetup scale="80" orientation="landscape" r:id="rId1"/>
  <headerFooter scaleWithDoc="0"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67" enableFormatConditionsCalculation="0">
    <tabColor rgb="FF669900"/>
    <pageSetUpPr fitToPage="1"/>
  </sheetPr>
  <dimension ref="A1:L49"/>
  <sheetViews>
    <sheetView showGridLines="0" zoomScaleSheetLayoutView="100" workbookViewId="0">
      <selection activeCell="K8" sqref="K8"/>
    </sheetView>
  </sheetViews>
  <sheetFormatPr baseColWidth="10" defaultRowHeight="12.75"/>
  <cols>
    <col min="1" max="1" width="1.7109375" customWidth="1"/>
    <col min="2" max="2" width="12.7109375" customWidth="1"/>
    <col min="3" max="3" width="20.7109375" customWidth="1"/>
    <col min="4" max="5" width="14" bestFit="1" customWidth="1"/>
    <col min="6" max="7" width="12.7109375" customWidth="1"/>
    <col min="8" max="8" width="1.7109375" customWidth="1"/>
  </cols>
  <sheetData>
    <row r="1" spans="1:12" s="46" customFormat="1" ht="12" customHeight="1">
      <c r="A1" s="261"/>
      <c r="B1" s="259"/>
      <c r="C1" s="260"/>
      <c r="D1" s="260"/>
      <c r="E1" s="260"/>
      <c r="F1" s="260"/>
      <c r="G1" s="260"/>
      <c r="H1" s="261"/>
    </row>
    <row r="2" spans="1:12" ht="18" customHeight="1" thickBot="1">
      <c r="A2" s="263"/>
      <c r="B2" s="1187" t="s">
        <v>555</v>
      </c>
      <c r="C2" s="1187"/>
      <c r="D2" s="1187"/>
      <c r="E2" s="1187"/>
      <c r="F2" s="1187"/>
      <c r="G2" s="1187"/>
      <c r="H2" s="263"/>
    </row>
    <row r="3" spans="1:12" ht="18" customHeight="1" thickBot="1">
      <c r="A3" s="263"/>
      <c r="B3" s="1189" t="s">
        <v>256</v>
      </c>
      <c r="C3" s="1189" t="s">
        <v>301</v>
      </c>
      <c r="D3" s="1191" t="s">
        <v>302</v>
      </c>
      <c r="E3" s="1192"/>
      <c r="F3" s="1193"/>
      <c r="G3" s="1189" t="s">
        <v>304</v>
      </c>
      <c r="H3" s="263"/>
    </row>
    <row r="4" spans="1:12" ht="24" customHeight="1" thickBot="1">
      <c r="A4" s="263"/>
      <c r="B4" s="1189"/>
      <c r="C4" s="1189"/>
      <c r="D4" s="430" t="s">
        <v>103</v>
      </c>
      <c r="E4" s="430" t="s">
        <v>104</v>
      </c>
      <c r="F4" s="430" t="s">
        <v>303</v>
      </c>
      <c r="G4" s="1190"/>
      <c r="H4" s="263"/>
    </row>
    <row r="5" spans="1:12" ht="15" customHeight="1" thickBot="1">
      <c r="A5" s="263"/>
      <c r="B5" s="568">
        <v>1990</v>
      </c>
      <c r="C5" s="569">
        <v>23.134974</v>
      </c>
      <c r="D5" s="569">
        <v>4.1857430000000004</v>
      </c>
      <c r="E5" s="569">
        <v>18.949230999999997</v>
      </c>
      <c r="F5" s="569"/>
      <c r="G5" s="569">
        <v>18.092706739156053</v>
      </c>
      <c r="H5" s="263"/>
    </row>
    <row r="6" spans="1:12" ht="15" customHeight="1" thickBot="1">
      <c r="A6" s="263"/>
      <c r="B6" s="775">
        <v>1995</v>
      </c>
      <c r="C6" s="776">
        <v>24.033539000000001</v>
      </c>
      <c r="D6" s="776">
        <v>7.1392090000000001</v>
      </c>
      <c r="E6" s="776">
        <v>16.89433</v>
      </c>
      <c r="F6" s="776">
        <v>2.9534659999999997</v>
      </c>
      <c r="G6" s="776">
        <v>29.705192398006801</v>
      </c>
      <c r="H6" s="263"/>
    </row>
    <row r="7" spans="1:12" ht="15" customHeight="1" thickBot="1">
      <c r="A7" s="263"/>
      <c r="B7" s="568">
        <v>2000</v>
      </c>
      <c r="C7" s="569">
        <v>24.231590000000001</v>
      </c>
      <c r="D7" s="569">
        <v>8.8956940000000007</v>
      </c>
      <c r="E7" s="569">
        <v>15.335896</v>
      </c>
      <c r="F7" s="569">
        <v>1.7564850000000005</v>
      </c>
      <c r="G7" s="569">
        <v>36.711144419330303</v>
      </c>
      <c r="H7" s="263"/>
    </row>
    <row r="8" spans="1:12" ht="15" customHeight="1" thickBot="1">
      <c r="A8" s="263"/>
      <c r="B8" s="775">
        <v>2005</v>
      </c>
      <c r="C8" s="776">
        <v>23.934885000000001</v>
      </c>
      <c r="D8" s="776">
        <v>13.757790999999999</v>
      </c>
      <c r="E8" s="776">
        <v>10.177094000000002</v>
      </c>
      <c r="F8" s="776">
        <v>4.8620969999999986</v>
      </c>
      <c r="G8" s="776">
        <v>57.480079808196272</v>
      </c>
      <c r="H8" s="263"/>
    </row>
    <row r="9" spans="1:12" ht="15" customHeight="1" thickBot="1">
      <c r="A9" s="263"/>
      <c r="B9" s="568" t="s">
        <v>134</v>
      </c>
      <c r="C9" s="569">
        <v>23.919622591393434</v>
      </c>
      <c r="D9" s="569">
        <v>13.9</v>
      </c>
      <c r="E9" s="569">
        <v>10</v>
      </c>
      <c r="F9" s="569">
        <v>0.10745330049522472</v>
      </c>
      <c r="G9" s="569">
        <v>58.111284770025541</v>
      </c>
      <c r="H9" s="263"/>
    </row>
    <row r="10" spans="1:12" ht="15" customHeight="1" thickBot="1">
      <c r="A10" s="263"/>
      <c r="B10" s="775" t="s">
        <v>208</v>
      </c>
      <c r="C10" s="776">
        <v>24.062004680061776</v>
      </c>
      <c r="D10" s="776">
        <v>14</v>
      </c>
      <c r="E10" s="776">
        <v>10.022470298529313</v>
      </c>
      <c r="F10" s="776">
        <v>0.13953438153246189</v>
      </c>
      <c r="G10" s="776">
        <v>58.347317973742562</v>
      </c>
      <c r="H10" s="263"/>
    </row>
    <row r="11" spans="1:12" ht="15" customHeight="1" thickBot="1">
      <c r="A11" s="263"/>
      <c r="B11" s="568" t="s">
        <v>227</v>
      </c>
      <c r="C11" s="569">
        <v>23.951070956334014</v>
      </c>
      <c r="D11" s="569">
        <v>14.357647931297802</v>
      </c>
      <c r="E11" s="569">
        <v>9.5934230250362127</v>
      </c>
      <c r="F11" s="569">
        <v>0.35764793129780159</v>
      </c>
      <c r="G11" s="569">
        <v>59.945745046113807</v>
      </c>
      <c r="H11" s="263"/>
    </row>
    <row r="12" spans="1:12" ht="15" customHeight="1" thickBot="1">
      <c r="A12" s="263"/>
      <c r="B12" s="775" t="s">
        <v>259</v>
      </c>
      <c r="C12" s="776">
        <v>23.930413882655284</v>
      </c>
      <c r="D12" s="776">
        <v>14.71237469451024</v>
      </c>
      <c r="E12" s="776">
        <v>9.2180391881450436</v>
      </c>
      <c r="F12" s="776">
        <v>0.71237469451024005</v>
      </c>
      <c r="G12" s="776">
        <v>61.47981713418563</v>
      </c>
      <c r="H12" s="263"/>
    </row>
    <row r="13" spans="1:12" ht="15" customHeight="1" thickBot="1">
      <c r="A13" s="263"/>
      <c r="B13" s="773" t="s">
        <v>265</v>
      </c>
      <c r="C13" s="774">
        <v>23.899162195321249</v>
      </c>
      <c r="D13" s="774">
        <v>15.098728946516101</v>
      </c>
      <c r="E13" s="774">
        <v>8.8004332488051489</v>
      </c>
      <c r="F13" s="774">
        <v>0.38635425200586049</v>
      </c>
      <c r="G13" s="774">
        <v>63.176812739787117</v>
      </c>
      <c r="H13" s="263"/>
      <c r="J13" s="16"/>
      <c r="K13" s="67"/>
      <c r="L13" s="16"/>
    </row>
    <row r="14" spans="1:12" ht="12" customHeight="1">
      <c r="A14" s="263"/>
      <c r="B14" s="1188" t="s">
        <v>428</v>
      </c>
      <c r="C14" s="1188"/>
      <c r="D14" s="1188"/>
      <c r="E14" s="1188"/>
      <c r="F14" s="1188"/>
      <c r="G14" s="1188"/>
      <c r="H14" s="273"/>
      <c r="I14" s="17"/>
    </row>
    <row r="15" spans="1:12" ht="12" customHeight="1">
      <c r="A15" s="263"/>
      <c r="B15" s="1188" t="s">
        <v>213</v>
      </c>
      <c r="C15" s="1188"/>
      <c r="D15" s="1188"/>
      <c r="E15" s="1188"/>
      <c r="F15" s="1188"/>
      <c r="G15" s="1188"/>
      <c r="H15" s="263"/>
    </row>
    <row r="16" spans="1:12" ht="12" customHeight="1">
      <c r="A16" s="263"/>
      <c r="B16" s="570" t="s">
        <v>299</v>
      </c>
      <c r="C16" s="570"/>
      <c r="D16" s="570"/>
      <c r="E16" s="570"/>
      <c r="F16" s="570"/>
      <c r="G16" s="570"/>
      <c r="H16" s="263"/>
    </row>
    <row r="17" spans="1:8" ht="6.75" customHeight="1">
      <c r="A17" s="263"/>
      <c r="B17" s="263"/>
      <c r="C17" s="263"/>
      <c r="D17" s="263"/>
      <c r="E17" s="263"/>
      <c r="F17" s="263"/>
      <c r="G17" s="263"/>
      <c r="H17" s="263"/>
    </row>
    <row r="24" spans="1:8">
      <c r="B24" s="237"/>
    </row>
    <row r="29" spans="1:8">
      <c r="B29" s="10"/>
      <c r="C29" s="10"/>
      <c r="D29" s="10"/>
      <c r="E29" s="10"/>
      <c r="F29" s="10"/>
      <c r="G29" s="10"/>
    </row>
    <row r="31" spans="1:8">
      <c r="B31" s="237"/>
    </row>
    <row r="34" spans="2:2">
      <c r="B34" s="235"/>
    </row>
    <row r="42" spans="2:2">
      <c r="B42" s="235"/>
    </row>
    <row r="49" spans="2:2">
      <c r="B49" s="242"/>
    </row>
  </sheetData>
  <sheetProtection password="CF4C" sheet="1" objects="1" scenarios="1"/>
  <customSheetViews>
    <customSheetView guid="{E9B43C8C-734F-433D-AD37-344F9303B5CC}" showPageBreaks="1" showGridLines="0" showRuler="0">
      <selection activeCell="G12" sqref="G12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1"/>
      <headerFooter alignWithMargins="0"/>
    </customSheetView>
    <customSheetView guid="{9BF398E0-33D8-4E64-94A2-9B7C822C8383}" showPageBreaks="1" showGridLines="0" printArea="1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2"/>
      <headerFooter alignWithMargins="0"/>
    </customSheetView>
    <customSheetView guid="{6DCFE324-2DF9-4BB0-88BD-A4AD316C7A9E}" showPageBreaks="1" showGridLines="0" printArea="1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3"/>
      <headerFooter alignWithMargins="0"/>
    </customSheetView>
    <customSheetView guid="{48A744A8-8180-4A3B-8108-49EF41816969}" showGridLines="0" showRuler="0">
      <selection activeCell="B16" sqref="B16:G16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4"/>
      <headerFooter alignWithMargins="0"/>
    </customSheetView>
    <customSheetView guid="{9E220BD5-A526-40BD-8239-3A0461590922}" showGridLines="0" showRuler="0">
      <selection activeCell="E29" sqref="E29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5"/>
      <headerFooter alignWithMargins="0"/>
    </customSheetView>
  </customSheetViews>
  <mergeCells count="7">
    <mergeCell ref="B2:G2"/>
    <mergeCell ref="D3:F3"/>
    <mergeCell ref="B15:G15"/>
    <mergeCell ref="B14:G14"/>
    <mergeCell ref="G3:G4"/>
    <mergeCell ref="C3:C4"/>
    <mergeCell ref="B3:B4"/>
  </mergeCells>
  <phoneticPr fontId="9" type="noConversion"/>
  <printOptions horizontalCentered="1"/>
  <pageMargins left="0.19685039370078741" right="0.19685039370078741" top="0.59055118110236227" bottom="0.59055118110236227" header="0.39370078740157483" footer="0.39370078740157483"/>
  <pageSetup orientation="portrait" r:id="rId6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rgb="FF669900"/>
  </sheetPr>
  <dimension ref="B1:BW95"/>
  <sheetViews>
    <sheetView showGridLines="0" zoomScaleNormal="100" workbookViewId="0">
      <selection activeCell="D45" sqref="D45"/>
    </sheetView>
  </sheetViews>
  <sheetFormatPr baseColWidth="10" defaultColWidth="11.42578125" defaultRowHeight="12.75"/>
  <cols>
    <col min="1" max="2" width="0.85546875" style="732" customWidth="1"/>
    <col min="3" max="3" width="17.5703125" style="732" customWidth="1"/>
    <col min="4" max="4" width="4.85546875" style="732" customWidth="1"/>
    <col min="5" max="5" width="5" style="732" customWidth="1"/>
    <col min="6" max="6" width="5.140625" style="732" customWidth="1"/>
    <col min="7" max="7" width="4.7109375" style="732" customWidth="1"/>
    <col min="8" max="8" width="4.85546875" style="732" customWidth="1"/>
    <col min="9" max="9" width="4.7109375" style="732" customWidth="1"/>
    <col min="10" max="17" width="4.5703125" style="732" hidden="1" customWidth="1"/>
    <col min="18" max="18" width="5" style="732" customWidth="1"/>
    <col min="19" max="19" width="4.7109375" style="732" customWidth="1"/>
    <col min="20" max="20" width="5" style="732" customWidth="1"/>
    <col min="21" max="21" width="4.7109375" style="732" customWidth="1"/>
    <col min="22" max="22" width="5.42578125" style="732" customWidth="1"/>
    <col min="23" max="23" width="4.7109375" style="732" customWidth="1"/>
    <col min="24" max="24" width="5.7109375" style="732" customWidth="1"/>
    <col min="25" max="27" width="4.7109375" style="732" customWidth="1"/>
    <col min="28" max="29" width="5" style="732" customWidth="1"/>
    <col min="30" max="30" width="0.42578125" style="732" customWidth="1"/>
    <col min="31" max="31" width="12.140625" style="732" customWidth="1"/>
    <col min="32" max="32" width="4.7109375" style="732" customWidth="1"/>
    <col min="33" max="35" width="4.85546875" style="732" customWidth="1"/>
    <col min="36" max="36" width="5" style="732" customWidth="1"/>
    <col min="37" max="37" width="5.140625" style="732" customWidth="1"/>
    <col min="38" max="45" width="4.5703125" style="732" hidden="1" customWidth="1"/>
    <col min="46" max="46" width="4.85546875" style="732" customWidth="1"/>
    <col min="47" max="47" width="4.7109375" style="732" customWidth="1"/>
    <col min="48" max="48" width="4.85546875" style="732" customWidth="1"/>
    <col min="49" max="51" width="4.7109375" style="732" customWidth="1"/>
    <col min="52" max="52" width="5.140625" style="732" customWidth="1"/>
    <col min="53" max="55" width="4.7109375" style="732" customWidth="1"/>
    <col min="56" max="56" width="5" style="732" customWidth="1"/>
    <col min="57" max="57" width="4.7109375" style="732" customWidth="1"/>
    <col min="58" max="58" width="1.7109375" style="732" customWidth="1"/>
    <col min="59" max="60" width="2.7109375" style="732" customWidth="1"/>
    <col min="61" max="67" width="5.5703125" style="732" customWidth="1"/>
    <col min="68" max="68" width="2.42578125" style="732" customWidth="1"/>
    <col min="69" max="75" width="5.5703125" style="732" customWidth="1"/>
    <col min="76" max="16384" width="11.42578125" style="732"/>
  </cols>
  <sheetData>
    <row r="1" spans="3:75" s="730" customFormat="1" ht="12" customHeight="1" thickBot="1"/>
    <row r="2" spans="3:75" ht="18" customHeight="1" thickBot="1">
      <c r="C2" s="1238" t="s">
        <v>557</v>
      </c>
      <c r="D2" s="1238"/>
      <c r="E2" s="1238"/>
      <c r="F2" s="1238"/>
      <c r="G2" s="1238"/>
      <c r="H2" s="1238"/>
      <c r="I2" s="1238"/>
      <c r="J2" s="1238"/>
      <c r="K2" s="1238"/>
      <c r="L2" s="1238"/>
      <c r="M2" s="1238"/>
      <c r="N2" s="1238"/>
      <c r="O2" s="1238"/>
      <c r="P2" s="1238"/>
      <c r="Q2" s="1238"/>
      <c r="R2" s="1238"/>
      <c r="S2" s="1238"/>
      <c r="T2" s="1238"/>
      <c r="U2" s="1238"/>
      <c r="V2" s="1238"/>
      <c r="W2" s="1238"/>
      <c r="X2" s="1238"/>
      <c r="Y2" s="1238"/>
      <c r="Z2" s="1238"/>
      <c r="AA2" s="1238"/>
      <c r="AB2" s="1238"/>
      <c r="AC2" s="1238"/>
      <c r="AD2" s="841"/>
      <c r="AE2" s="1201" t="s">
        <v>556</v>
      </c>
      <c r="AF2" s="1202"/>
      <c r="AG2" s="1202"/>
      <c r="AH2" s="1202"/>
      <c r="AI2" s="1202"/>
      <c r="AJ2" s="1202"/>
      <c r="AK2" s="1202"/>
      <c r="AL2" s="1202"/>
      <c r="AM2" s="1202"/>
      <c r="AN2" s="1202"/>
      <c r="AO2" s="1202"/>
      <c r="AP2" s="1202"/>
      <c r="AQ2" s="1202"/>
      <c r="AR2" s="1202"/>
      <c r="AS2" s="1202"/>
      <c r="AT2" s="1202"/>
      <c r="AU2" s="1202"/>
      <c r="AV2" s="1202"/>
      <c r="AW2" s="1202"/>
      <c r="AX2" s="1202"/>
      <c r="AY2" s="1202"/>
      <c r="AZ2" s="1202"/>
      <c r="BA2" s="1202"/>
      <c r="BB2" s="1202"/>
      <c r="BC2" s="1202"/>
      <c r="BD2" s="1202"/>
      <c r="BE2" s="1202"/>
      <c r="BF2" s="730"/>
      <c r="BG2" s="731"/>
      <c r="BH2" s="731"/>
    </row>
    <row r="3" spans="3:75" ht="15" customHeight="1" thickBot="1">
      <c r="C3" s="1165" t="s">
        <v>528</v>
      </c>
      <c r="D3" s="1165"/>
      <c r="E3" s="1165"/>
      <c r="F3" s="1165"/>
      <c r="G3" s="1165"/>
      <c r="H3" s="1165"/>
      <c r="I3" s="1165"/>
      <c r="J3" s="1165"/>
      <c r="K3" s="1165"/>
      <c r="L3" s="1165"/>
      <c r="M3" s="1165"/>
      <c r="N3" s="1165"/>
      <c r="O3" s="1165"/>
      <c r="P3" s="1165"/>
      <c r="Q3" s="1165"/>
      <c r="R3" s="1165"/>
      <c r="S3" s="1165"/>
      <c r="T3" s="1165"/>
      <c r="U3" s="1165"/>
      <c r="V3" s="1165"/>
      <c r="W3" s="1165"/>
      <c r="X3" s="1165"/>
      <c r="Y3" s="1165"/>
      <c r="Z3" s="1165"/>
      <c r="AA3" s="1165"/>
      <c r="AB3" s="1165"/>
      <c r="AC3" s="766"/>
      <c r="AD3" s="841"/>
      <c r="AE3" s="988" t="s">
        <v>528</v>
      </c>
      <c r="AF3" s="989"/>
      <c r="AG3" s="989"/>
      <c r="AH3" s="989"/>
      <c r="AI3" s="989"/>
      <c r="AJ3" s="989"/>
      <c r="AK3" s="989"/>
      <c r="AL3" s="989"/>
      <c r="AM3" s="989"/>
      <c r="AN3" s="989"/>
      <c r="AO3" s="989"/>
      <c r="AP3" s="989"/>
      <c r="AQ3" s="989"/>
      <c r="AR3" s="989"/>
      <c r="AS3" s="989"/>
      <c r="AT3" s="989"/>
      <c r="AU3" s="989"/>
      <c r="AV3" s="989"/>
      <c r="AW3" s="989"/>
      <c r="AX3" s="989"/>
      <c r="AY3" s="989"/>
      <c r="AZ3" s="989"/>
      <c r="BA3" s="989"/>
      <c r="BB3" s="989"/>
      <c r="BC3" s="989"/>
      <c r="BD3" s="989"/>
      <c r="BE3" s="989"/>
      <c r="BF3" s="730"/>
      <c r="BG3" s="731"/>
      <c r="BH3" s="731"/>
    </row>
    <row r="4" spans="3:75" ht="17.25" customHeight="1" thickBot="1">
      <c r="C4" s="1242" t="s">
        <v>230</v>
      </c>
      <c r="D4" s="1245" t="s">
        <v>536</v>
      </c>
      <c r="E4" s="1246"/>
      <c r="F4" s="1246"/>
      <c r="G4" s="1246"/>
      <c r="H4" s="1246"/>
      <c r="I4" s="1246"/>
      <c r="J4" s="1246"/>
      <c r="K4" s="1246"/>
      <c r="L4" s="1246"/>
      <c r="M4" s="1246"/>
      <c r="N4" s="1246"/>
      <c r="O4" s="1246"/>
      <c r="P4" s="1246"/>
      <c r="Q4" s="1246"/>
      <c r="R4" s="1246"/>
      <c r="S4" s="1246"/>
      <c r="T4" s="1246"/>
      <c r="U4" s="1246"/>
      <c r="V4" s="1246"/>
      <c r="W4" s="1246"/>
      <c r="X4" s="1246"/>
      <c r="Y4" s="1246"/>
      <c r="Z4" s="1246"/>
      <c r="AA4" s="1246"/>
      <c r="AB4" s="1246"/>
      <c r="AC4" s="1247"/>
      <c r="AD4" s="841"/>
      <c r="AE4" s="1210" t="s">
        <v>230</v>
      </c>
      <c r="AF4" s="1248" t="s">
        <v>537</v>
      </c>
      <c r="AG4" s="1249"/>
      <c r="AH4" s="1249"/>
      <c r="AI4" s="1249"/>
      <c r="AJ4" s="1249"/>
      <c r="AK4" s="1249"/>
      <c r="AL4" s="1249"/>
      <c r="AM4" s="1249"/>
      <c r="AN4" s="1249"/>
      <c r="AO4" s="1249"/>
      <c r="AP4" s="1249"/>
      <c r="AQ4" s="1249"/>
      <c r="AR4" s="1249"/>
      <c r="AS4" s="1249"/>
      <c r="AT4" s="1249"/>
      <c r="AU4" s="1249"/>
      <c r="AV4" s="1249"/>
      <c r="AW4" s="1249"/>
      <c r="AX4" s="1249"/>
      <c r="AY4" s="1249"/>
      <c r="AZ4" s="1249"/>
      <c r="BA4" s="1249"/>
      <c r="BB4" s="1249"/>
      <c r="BC4" s="1249"/>
      <c r="BD4" s="1249"/>
      <c r="BE4" s="1250"/>
      <c r="BF4" s="730"/>
      <c r="BG4" s="731"/>
      <c r="BH4" s="731"/>
    </row>
    <row r="5" spans="3:75" ht="6" customHeight="1" thickBot="1">
      <c r="C5" s="1243"/>
      <c r="D5" s="1251">
        <v>1990</v>
      </c>
      <c r="E5" s="1252"/>
      <c r="F5" s="1239">
        <v>1995</v>
      </c>
      <c r="G5" s="1239"/>
      <c r="H5" s="1239">
        <v>2000</v>
      </c>
      <c r="I5" s="1239"/>
      <c r="J5" s="1239">
        <v>2001</v>
      </c>
      <c r="K5" s="1239"/>
      <c r="L5" s="1239">
        <v>2002</v>
      </c>
      <c r="M5" s="1239"/>
      <c r="N5" s="1239">
        <v>2003</v>
      </c>
      <c r="O5" s="1239"/>
      <c r="P5" s="1239">
        <v>2004</v>
      </c>
      <c r="Q5" s="1239"/>
      <c r="R5" s="1239">
        <v>2005</v>
      </c>
      <c r="S5" s="1239"/>
      <c r="T5" s="1239" t="s">
        <v>134</v>
      </c>
      <c r="U5" s="1239"/>
      <c r="V5" s="1239" t="s">
        <v>208</v>
      </c>
      <c r="W5" s="1239"/>
      <c r="X5" s="1239" t="s">
        <v>227</v>
      </c>
      <c r="Y5" s="1239"/>
      <c r="Z5" s="1239" t="s">
        <v>259</v>
      </c>
      <c r="AA5" s="1239"/>
      <c r="AB5" s="1239" t="s">
        <v>265</v>
      </c>
      <c r="AC5" s="1239"/>
      <c r="AD5" s="1240"/>
      <c r="AE5" s="1211"/>
      <c r="AF5" s="1232">
        <v>1990</v>
      </c>
      <c r="AG5" s="1233"/>
      <c r="AH5" s="1231">
        <v>1995</v>
      </c>
      <c r="AI5" s="1231"/>
      <c r="AJ5" s="1231">
        <v>2000</v>
      </c>
      <c r="AK5" s="1231"/>
      <c r="AL5" s="1231">
        <v>2001</v>
      </c>
      <c r="AM5" s="1231"/>
      <c r="AN5" s="1231">
        <v>2002</v>
      </c>
      <c r="AO5" s="1231"/>
      <c r="AP5" s="1231">
        <v>2003</v>
      </c>
      <c r="AQ5" s="1231"/>
      <c r="AR5" s="1231">
        <v>2004</v>
      </c>
      <c r="AS5" s="1231"/>
      <c r="AT5" s="1231">
        <v>2005</v>
      </c>
      <c r="AU5" s="1231"/>
      <c r="AV5" s="1231" t="s">
        <v>134</v>
      </c>
      <c r="AW5" s="1231"/>
      <c r="AX5" s="1231" t="s">
        <v>208</v>
      </c>
      <c r="AY5" s="1231"/>
      <c r="AZ5" s="1231" t="s">
        <v>227</v>
      </c>
      <c r="BA5" s="1231"/>
      <c r="BB5" s="1231" t="s">
        <v>259</v>
      </c>
      <c r="BC5" s="1231"/>
      <c r="BD5" s="1231" t="s">
        <v>265</v>
      </c>
      <c r="BE5" s="1231"/>
      <c r="BF5" s="730"/>
      <c r="BG5" s="731"/>
      <c r="BH5" s="731"/>
      <c r="BI5" s="1225">
        <v>1995</v>
      </c>
      <c r="BJ5" s="1225">
        <v>2000</v>
      </c>
      <c r="BK5" s="1225">
        <v>2005</v>
      </c>
      <c r="BL5" s="1225">
        <v>2006</v>
      </c>
      <c r="BM5" s="1228">
        <v>2007</v>
      </c>
      <c r="BN5" s="1228">
        <v>2008</v>
      </c>
      <c r="BO5" s="1219" t="s">
        <v>529</v>
      </c>
      <c r="BQ5" s="1222">
        <v>1995</v>
      </c>
      <c r="BR5" s="1222">
        <v>2000</v>
      </c>
      <c r="BS5" s="1222">
        <v>2005</v>
      </c>
      <c r="BT5" s="1222">
        <v>2006</v>
      </c>
      <c r="BU5" s="1213">
        <v>2007</v>
      </c>
      <c r="BV5" s="1213">
        <v>2008</v>
      </c>
      <c r="BW5" s="1216" t="s">
        <v>529</v>
      </c>
    </row>
    <row r="6" spans="3:75" ht="5.25" customHeight="1" thickBot="1">
      <c r="C6" s="1243"/>
      <c r="D6" s="1253"/>
      <c r="E6" s="1254"/>
      <c r="F6" s="1239"/>
      <c r="G6" s="1239"/>
      <c r="H6" s="1239"/>
      <c r="I6" s="1239"/>
      <c r="J6" s="1239"/>
      <c r="K6" s="1239"/>
      <c r="L6" s="1239"/>
      <c r="M6" s="1239"/>
      <c r="N6" s="1239"/>
      <c r="O6" s="1239"/>
      <c r="P6" s="1239"/>
      <c r="Q6" s="1239"/>
      <c r="R6" s="1239"/>
      <c r="S6" s="1239"/>
      <c r="T6" s="1239"/>
      <c r="U6" s="1239"/>
      <c r="V6" s="1239"/>
      <c r="W6" s="1239"/>
      <c r="X6" s="1239"/>
      <c r="Y6" s="1239"/>
      <c r="Z6" s="1239"/>
      <c r="AA6" s="1239"/>
      <c r="AB6" s="1239"/>
      <c r="AC6" s="1239"/>
      <c r="AD6" s="1240"/>
      <c r="AE6" s="1211"/>
      <c r="AF6" s="1234"/>
      <c r="AG6" s="1235"/>
      <c r="AH6" s="1231"/>
      <c r="AI6" s="1231"/>
      <c r="AJ6" s="1231"/>
      <c r="AK6" s="1231"/>
      <c r="AL6" s="1231"/>
      <c r="AM6" s="1231"/>
      <c r="AN6" s="1231"/>
      <c r="AO6" s="1231"/>
      <c r="AP6" s="1231"/>
      <c r="AQ6" s="1231"/>
      <c r="AR6" s="1231"/>
      <c r="AS6" s="1231"/>
      <c r="AT6" s="1231"/>
      <c r="AU6" s="1231"/>
      <c r="AV6" s="1231"/>
      <c r="AW6" s="1231"/>
      <c r="AX6" s="1231"/>
      <c r="AY6" s="1231"/>
      <c r="AZ6" s="1231"/>
      <c r="BA6" s="1231"/>
      <c r="BB6" s="1231"/>
      <c r="BC6" s="1231"/>
      <c r="BD6" s="1231"/>
      <c r="BE6" s="1231"/>
      <c r="BF6" s="731"/>
      <c r="BG6" s="731"/>
      <c r="BH6" s="731"/>
      <c r="BI6" s="1226"/>
      <c r="BJ6" s="1226"/>
      <c r="BK6" s="1226"/>
      <c r="BL6" s="1226"/>
      <c r="BM6" s="1229"/>
      <c r="BN6" s="1229"/>
      <c r="BO6" s="1220"/>
      <c r="BQ6" s="1223"/>
      <c r="BR6" s="1223"/>
      <c r="BS6" s="1223"/>
      <c r="BT6" s="1223"/>
      <c r="BU6" s="1214"/>
      <c r="BV6" s="1214"/>
      <c r="BW6" s="1217"/>
    </row>
    <row r="7" spans="3:75" ht="1.5" hidden="1" customHeight="1" thickBot="1">
      <c r="C7" s="1243"/>
      <c r="D7" s="1255"/>
      <c r="E7" s="1256"/>
      <c r="F7" s="1239"/>
      <c r="G7" s="1239"/>
      <c r="H7" s="1239"/>
      <c r="I7" s="1239"/>
      <c r="J7" s="1239"/>
      <c r="K7" s="1239"/>
      <c r="L7" s="1239"/>
      <c r="M7" s="1239"/>
      <c r="N7" s="1239"/>
      <c r="O7" s="1239"/>
      <c r="P7" s="1239"/>
      <c r="Q7" s="1239"/>
      <c r="R7" s="1239"/>
      <c r="S7" s="1239"/>
      <c r="T7" s="1239"/>
      <c r="U7" s="1239"/>
      <c r="V7" s="1239"/>
      <c r="W7" s="1239"/>
      <c r="X7" s="856"/>
      <c r="Y7" s="856"/>
      <c r="Z7" s="856"/>
      <c r="AA7" s="856"/>
      <c r="AB7" s="856"/>
      <c r="AC7" s="856"/>
      <c r="AD7" s="1241"/>
      <c r="AE7" s="1211"/>
      <c r="AF7" s="1236"/>
      <c r="AG7" s="1237"/>
      <c r="AH7" s="1231"/>
      <c r="AI7" s="1231"/>
      <c r="AJ7" s="1231"/>
      <c r="AK7" s="1231"/>
      <c r="AL7" s="1231"/>
      <c r="AM7" s="1231"/>
      <c r="AN7" s="1231"/>
      <c r="AO7" s="1231"/>
      <c r="AP7" s="1231"/>
      <c r="AQ7" s="1231"/>
      <c r="AR7" s="1231"/>
      <c r="AS7" s="1231"/>
      <c r="AT7" s="1231"/>
      <c r="AU7" s="1231"/>
      <c r="AV7" s="1231"/>
      <c r="AW7" s="1231"/>
      <c r="AX7" s="1231"/>
      <c r="AY7" s="1231"/>
      <c r="AZ7" s="857"/>
      <c r="BA7" s="857"/>
      <c r="BB7" s="857"/>
      <c r="BC7" s="857"/>
      <c r="BD7" s="857"/>
      <c r="BE7" s="857"/>
      <c r="BF7" s="731"/>
      <c r="BG7" s="731"/>
      <c r="BH7" s="731"/>
      <c r="BI7" s="1227"/>
      <c r="BJ7" s="1227"/>
      <c r="BK7" s="1227"/>
      <c r="BL7" s="1227"/>
      <c r="BM7" s="1230"/>
      <c r="BN7" s="1230"/>
      <c r="BO7" s="1221"/>
      <c r="BQ7" s="1224"/>
      <c r="BR7" s="1224"/>
      <c r="BS7" s="1224"/>
      <c r="BT7" s="1224"/>
      <c r="BU7" s="1215"/>
      <c r="BV7" s="1215"/>
      <c r="BW7" s="1218"/>
    </row>
    <row r="8" spans="3:75" ht="9" customHeight="1" thickBot="1">
      <c r="C8" s="1243"/>
      <c r="D8" s="1207" t="s">
        <v>103</v>
      </c>
      <c r="E8" s="1207" t="s">
        <v>104</v>
      </c>
      <c r="F8" s="1207" t="s">
        <v>103</v>
      </c>
      <c r="G8" s="1207" t="s">
        <v>104</v>
      </c>
      <c r="H8" s="1207" t="s">
        <v>103</v>
      </c>
      <c r="I8" s="1207" t="s">
        <v>104</v>
      </c>
      <c r="J8" s="1207" t="s">
        <v>103</v>
      </c>
      <c r="K8" s="1207" t="s">
        <v>104</v>
      </c>
      <c r="L8" s="1207" t="s">
        <v>103</v>
      </c>
      <c r="M8" s="1207" t="s">
        <v>104</v>
      </c>
      <c r="N8" s="1207" t="s">
        <v>103</v>
      </c>
      <c r="O8" s="1207" t="s">
        <v>104</v>
      </c>
      <c r="P8" s="1207" t="s">
        <v>103</v>
      </c>
      <c r="Q8" s="1207" t="s">
        <v>104</v>
      </c>
      <c r="R8" s="1207" t="s">
        <v>103</v>
      </c>
      <c r="S8" s="1207" t="s">
        <v>104</v>
      </c>
      <c r="T8" s="1207" t="s">
        <v>103</v>
      </c>
      <c r="U8" s="1207" t="s">
        <v>104</v>
      </c>
      <c r="V8" s="1207" t="s">
        <v>103</v>
      </c>
      <c r="W8" s="1207" t="s">
        <v>104</v>
      </c>
      <c r="X8" s="1207" t="s">
        <v>103</v>
      </c>
      <c r="Y8" s="1207" t="s">
        <v>104</v>
      </c>
      <c r="Z8" s="1207" t="s">
        <v>103</v>
      </c>
      <c r="AA8" s="1207" t="s">
        <v>104</v>
      </c>
      <c r="AB8" s="1207" t="s">
        <v>103</v>
      </c>
      <c r="AC8" s="1207" t="s">
        <v>104</v>
      </c>
      <c r="AD8" s="842"/>
      <c r="AE8" s="1211"/>
      <c r="AF8" s="1204" t="s">
        <v>103</v>
      </c>
      <c r="AG8" s="1204" t="s">
        <v>104</v>
      </c>
      <c r="AH8" s="1204" t="s">
        <v>103</v>
      </c>
      <c r="AI8" s="1204" t="s">
        <v>104</v>
      </c>
      <c r="AJ8" s="1204" t="s">
        <v>103</v>
      </c>
      <c r="AK8" s="1204" t="s">
        <v>104</v>
      </c>
      <c r="AL8" s="1204" t="s">
        <v>103</v>
      </c>
      <c r="AM8" s="1204" t="s">
        <v>104</v>
      </c>
      <c r="AN8" s="1204" t="s">
        <v>103</v>
      </c>
      <c r="AO8" s="1204" t="s">
        <v>104</v>
      </c>
      <c r="AP8" s="1204" t="s">
        <v>103</v>
      </c>
      <c r="AQ8" s="1204" t="s">
        <v>104</v>
      </c>
      <c r="AR8" s="1204" t="s">
        <v>103</v>
      </c>
      <c r="AS8" s="1204" t="s">
        <v>104</v>
      </c>
      <c r="AT8" s="1204" t="s">
        <v>103</v>
      </c>
      <c r="AU8" s="1204" t="s">
        <v>104</v>
      </c>
      <c r="AV8" s="1204" t="s">
        <v>103</v>
      </c>
      <c r="AW8" s="1204" t="s">
        <v>104</v>
      </c>
      <c r="AX8" s="1204" t="s">
        <v>103</v>
      </c>
      <c r="AY8" s="1204" t="s">
        <v>104</v>
      </c>
      <c r="AZ8" s="1204" t="s">
        <v>103</v>
      </c>
      <c r="BA8" s="1204" t="s">
        <v>104</v>
      </c>
      <c r="BB8" s="1204" t="s">
        <v>103</v>
      </c>
      <c r="BC8" s="1204" t="s">
        <v>104</v>
      </c>
      <c r="BD8" s="1204" t="s">
        <v>103</v>
      </c>
      <c r="BE8" s="1204" t="s">
        <v>104</v>
      </c>
      <c r="BF8" s="731"/>
      <c r="BG8" s="731"/>
      <c r="BH8" s="731"/>
    </row>
    <row r="9" spans="3:75" ht="9" customHeight="1" thickBot="1">
      <c r="C9" s="1243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8"/>
      <c r="U9" s="1208"/>
      <c r="V9" s="1208"/>
      <c r="W9" s="1208"/>
      <c r="X9" s="1208"/>
      <c r="Y9" s="1208"/>
      <c r="Z9" s="1208"/>
      <c r="AA9" s="1208"/>
      <c r="AB9" s="1208"/>
      <c r="AC9" s="1208"/>
      <c r="AD9" s="842"/>
      <c r="AE9" s="1211"/>
      <c r="AF9" s="1205"/>
      <c r="AG9" s="1205"/>
      <c r="AH9" s="1205"/>
      <c r="AI9" s="1205"/>
      <c r="AJ9" s="1205"/>
      <c r="AK9" s="1205"/>
      <c r="AL9" s="1205"/>
      <c r="AM9" s="1205"/>
      <c r="AN9" s="1205"/>
      <c r="AO9" s="1205"/>
      <c r="AP9" s="1205"/>
      <c r="AQ9" s="1205"/>
      <c r="AR9" s="1205"/>
      <c r="AS9" s="1205"/>
      <c r="AT9" s="1205"/>
      <c r="AU9" s="1205"/>
      <c r="AV9" s="1205"/>
      <c r="AW9" s="1205"/>
      <c r="AX9" s="1205"/>
      <c r="AY9" s="1205"/>
      <c r="AZ9" s="1205"/>
      <c r="BA9" s="1205"/>
      <c r="BB9" s="1205"/>
      <c r="BC9" s="1205"/>
      <c r="BD9" s="1205"/>
      <c r="BE9" s="1205"/>
      <c r="BF9" s="731"/>
      <c r="BG9" s="731"/>
      <c r="BH9" s="731"/>
    </row>
    <row r="10" spans="3:75" ht="9" customHeight="1" thickBot="1">
      <c r="C10" s="1244"/>
      <c r="D10" s="1209"/>
      <c r="E10" s="1209"/>
      <c r="F10" s="1209"/>
      <c r="G10" s="1209"/>
      <c r="H10" s="1209"/>
      <c r="I10" s="1209"/>
      <c r="J10" s="1209"/>
      <c r="K10" s="1209"/>
      <c r="L10" s="1209"/>
      <c r="M10" s="1209"/>
      <c r="N10" s="1209"/>
      <c r="O10" s="1209"/>
      <c r="P10" s="1209"/>
      <c r="Q10" s="1209"/>
      <c r="R10" s="1209"/>
      <c r="S10" s="1209"/>
      <c r="T10" s="1209"/>
      <c r="U10" s="1209"/>
      <c r="V10" s="1209"/>
      <c r="W10" s="1209"/>
      <c r="X10" s="1209"/>
      <c r="Y10" s="1209"/>
      <c r="Z10" s="1209"/>
      <c r="AA10" s="1209"/>
      <c r="AB10" s="1209"/>
      <c r="AC10" s="1209"/>
      <c r="AD10" s="842"/>
      <c r="AE10" s="1212"/>
      <c r="AF10" s="1206"/>
      <c r="AG10" s="1206"/>
      <c r="AH10" s="1206"/>
      <c r="AI10" s="1206"/>
      <c r="AJ10" s="1206"/>
      <c r="AK10" s="1206"/>
      <c r="AL10" s="1206"/>
      <c r="AM10" s="1206"/>
      <c r="AN10" s="1206"/>
      <c r="AO10" s="1206"/>
      <c r="AP10" s="1206"/>
      <c r="AQ10" s="1206"/>
      <c r="AR10" s="1206"/>
      <c r="AS10" s="1206"/>
      <c r="AT10" s="1206"/>
      <c r="AU10" s="1206"/>
      <c r="AV10" s="1206"/>
      <c r="AW10" s="1206"/>
      <c r="AX10" s="1206"/>
      <c r="AY10" s="1206"/>
      <c r="AZ10" s="1206"/>
      <c r="BA10" s="1206"/>
      <c r="BB10" s="1206"/>
      <c r="BC10" s="1206"/>
      <c r="BD10" s="1206"/>
      <c r="BE10" s="1206"/>
      <c r="BF10" s="731"/>
      <c r="BG10" s="731"/>
      <c r="BH10" s="731"/>
    </row>
    <row r="11" spans="3:75" s="788" customFormat="1" ht="3" customHeight="1" thickBot="1">
      <c r="C11" s="786"/>
      <c r="D11" s="787"/>
      <c r="E11" s="787"/>
      <c r="F11" s="787"/>
      <c r="G11" s="787"/>
      <c r="H11" s="787"/>
      <c r="I11" s="787"/>
      <c r="J11" s="787"/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7"/>
      <c r="X11" s="787"/>
      <c r="Y11" s="787"/>
      <c r="Z11" s="787"/>
      <c r="AA11" s="787"/>
      <c r="AB11" s="787"/>
      <c r="AC11" s="787"/>
      <c r="AD11" s="787"/>
      <c r="AE11" s="786"/>
      <c r="AF11" s="787"/>
      <c r="AG11" s="787"/>
      <c r="AH11" s="787"/>
      <c r="AI11" s="787"/>
      <c r="AJ11" s="787"/>
      <c r="AK11" s="787"/>
      <c r="AL11" s="787"/>
      <c r="AM11" s="787"/>
      <c r="AN11" s="787"/>
      <c r="AO11" s="787"/>
      <c r="AP11" s="787"/>
      <c r="AQ11" s="787"/>
      <c r="AR11" s="787"/>
      <c r="AS11" s="787"/>
      <c r="AT11" s="787"/>
      <c r="AU11" s="787"/>
      <c r="AV11" s="787"/>
      <c r="AW11" s="787"/>
      <c r="AX11" s="787"/>
      <c r="AY11" s="787"/>
      <c r="AZ11" s="787"/>
      <c r="BA11" s="787"/>
      <c r="BB11" s="787"/>
      <c r="BC11" s="787"/>
      <c r="BD11" s="787"/>
      <c r="BE11" s="787"/>
      <c r="BF11" s="761"/>
      <c r="BG11" s="761"/>
      <c r="BH11" s="761"/>
    </row>
    <row r="12" spans="3:75" ht="10.5" customHeight="1" thickBot="1">
      <c r="C12" s="781" t="s">
        <v>6</v>
      </c>
      <c r="D12" s="780">
        <v>95.487738999247071</v>
      </c>
      <c r="E12" s="780">
        <v>4.5122610007529289</v>
      </c>
      <c r="F12" s="780">
        <v>97.967684590050183</v>
      </c>
      <c r="G12" s="780">
        <v>2.0323154099498169</v>
      </c>
      <c r="H12" s="780">
        <v>97.9</v>
      </c>
      <c r="I12" s="780">
        <v>2.0999999999999943</v>
      </c>
      <c r="J12" s="780">
        <v>99.1</v>
      </c>
      <c r="K12" s="780">
        <v>0.90000000000000568</v>
      </c>
      <c r="L12" s="780">
        <v>98.8</v>
      </c>
      <c r="M12" s="780">
        <v>1.2000000000000028</v>
      </c>
      <c r="N12" s="780">
        <v>99</v>
      </c>
      <c r="O12" s="780">
        <v>1</v>
      </c>
      <c r="P12" s="780">
        <v>98.809090271273419</v>
      </c>
      <c r="Q12" s="780">
        <v>1.1909097287265817</v>
      </c>
      <c r="R12" s="780">
        <v>97.8</v>
      </c>
      <c r="S12" s="780">
        <v>2.2000000000000002</v>
      </c>
      <c r="T12" s="780">
        <v>97.9</v>
      </c>
      <c r="U12" s="780">
        <v>2.1</v>
      </c>
      <c r="V12" s="780">
        <v>98.014938247037151</v>
      </c>
      <c r="W12" s="780">
        <v>1.9850617529628467</v>
      </c>
      <c r="X12" s="780">
        <v>97.222014415845479</v>
      </c>
      <c r="Y12" s="780">
        <v>2.7779855841545182</v>
      </c>
      <c r="Z12" s="780">
        <v>98.08176638954879</v>
      </c>
      <c r="AA12" s="780">
        <v>1.9182336104512103</v>
      </c>
      <c r="AB12" s="780">
        <v>97.217871538201891</v>
      </c>
      <c r="AC12" s="780">
        <v>2.7821284617981092</v>
      </c>
      <c r="AD12" s="733"/>
      <c r="AE12" s="784" t="s">
        <v>6</v>
      </c>
      <c r="AF12" s="784">
        <v>85.173299820024567</v>
      </c>
      <c r="AG12" s="784">
        <v>14.826700179975433</v>
      </c>
      <c r="AH12" s="784">
        <v>93.730754588920931</v>
      </c>
      <c r="AI12" s="784">
        <v>6.2692454110790692</v>
      </c>
      <c r="AJ12" s="784">
        <v>94.5</v>
      </c>
      <c r="AK12" s="784">
        <v>5.5</v>
      </c>
      <c r="AL12" s="784">
        <v>94.4</v>
      </c>
      <c r="AM12" s="784">
        <v>5.5999999999999943</v>
      </c>
      <c r="AN12" s="784">
        <v>94.5</v>
      </c>
      <c r="AO12" s="784">
        <v>5.5</v>
      </c>
      <c r="AP12" s="784">
        <v>94.8</v>
      </c>
      <c r="AQ12" s="784">
        <v>5.2000000000000028</v>
      </c>
      <c r="AR12" s="784">
        <v>95.456901633509162</v>
      </c>
      <c r="AS12" s="784">
        <v>4.5430983664908391</v>
      </c>
      <c r="AT12" s="784">
        <v>96.9</v>
      </c>
      <c r="AU12" s="784">
        <v>3.1</v>
      </c>
      <c r="AV12" s="784">
        <v>97.2</v>
      </c>
      <c r="AW12" s="784">
        <v>2.8</v>
      </c>
      <c r="AX12" s="784">
        <v>96.864804417026676</v>
      </c>
      <c r="AY12" s="784">
        <v>3.135195582973322</v>
      </c>
      <c r="AZ12" s="784">
        <v>96.115837151527401</v>
      </c>
      <c r="BA12" s="784">
        <v>3.8841628484725943</v>
      </c>
      <c r="BB12" s="784">
        <v>96.916207338491517</v>
      </c>
      <c r="BC12" s="784">
        <v>3.0837926615084825</v>
      </c>
      <c r="BD12" s="760">
        <v>96.81205001395567</v>
      </c>
      <c r="BE12" s="760">
        <v>3.1879499860443303</v>
      </c>
      <c r="BF12" s="731"/>
      <c r="BG12" s="731"/>
      <c r="BH12" s="731"/>
      <c r="BI12" s="734">
        <v>2.4799455908031121</v>
      </c>
      <c r="BJ12" s="734">
        <v>-6.7684590050177462E-2</v>
      </c>
      <c r="BK12" s="734">
        <v>-0.10000000000000853</v>
      </c>
      <c r="BL12" s="734">
        <v>0.11493824703714495</v>
      </c>
      <c r="BM12" s="734">
        <v>-0.79292383119167198</v>
      </c>
      <c r="BN12" s="734">
        <v>-4.1428776435878945E-3</v>
      </c>
      <c r="BO12" s="734">
        <v>-0.5821284617981064</v>
      </c>
      <c r="BP12" s="734"/>
      <c r="BQ12" s="734">
        <v>8.5574547688963634</v>
      </c>
      <c r="BR12" s="734">
        <v>0.76924541107906919</v>
      </c>
      <c r="BS12" s="734">
        <v>2.4000000000000057</v>
      </c>
      <c r="BT12" s="734">
        <v>-3.519558297332992E-2</v>
      </c>
      <c r="BU12" s="734">
        <v>-0.7489672654992745</v>
      </c>
      <c r="BV12" s="734">
        <v>0.69621286242826841</v>
      </c>
      <c r="BW12" s="734">
        <v>-8.7949986044336015E-2</v>
      </c>
    </row>
    <row r="13" spans="3:75" ht="10.5" customHeight="1" thickBot="1">
      <c r="C13" s="782" t="s">
        <v>7</v>
      </c>
      <c r="D13" s="783">
        <v>79.756406327864084</v>
      </c>
      <c r="E13" s="783">
        <v>20.243593672135916</v>
      </c>
      <c r="F13" s="783">
        <v>86.746249900329971</v>
      </c>
      <c r="G13" s="783">
        <v>13.253750099670029</v>
      </c>
      <c r="H13" s="783">
        <v>91.9</v>
      </c>
      <c r="I13" s="783">
        <v>8.0999999999999943</v>
      </c>
      <c r="J13" s="783">
        <v>94.7</v>
      </c>
      <c r="K13" s="783">
        <v>5.2999999999999972</v>
      </c>
      <c r="L13" s="783">
        <v>96.3</v>
      </c>
      <c r="M13" s="783">
        <v>3.7000000000000028</v>
      </c>
      <c r="N13" s="783">
        <v>96.3</v>
      </c>
      <c r="O13" s="783">
        <v>3.7000000000000028</v>
      </c>
      <c r="P13" s="783">
        <v>97.228057125869086</v>
      </c>
      <c r="Q13" s="783">
        <v>2.7719428741309002</v>
      </c>
      <c r="R13" s="783">
        <v>93.8</v>
      </c>
      <c r="S13" s="783">
        <v>6.2</v>
      </c>
      <c r="T13" s="783">
        <v>95.3</v>
      </c>
      <c r="U13" s="783">
        <v>4.7</v>
      </c>
      <c r="V13" s="783">
        <v>93.250261643984913</v>
      </c>
      <c r="W13" s="783">
        <v>6.7497383560150892</v>
      </c>
      <c r="X13" s="783">
        <v>92.919415182173665</v>
      </c>
      <c r="Y13" s="783">
        <v>7.0805848178263293</v>
      </c>
      <c r="Z13" s="783">
        <v>91.630434630464634</v>
      </c>
      <c r="AA13" s="783">
        <v>8.3695653695353656</v>
      </c>
      <c r="AB13" s="783">
        <v>90.275053580867052</v>
      </c>
      <c r="AC13" s="783">
        <v>9.724946419132948</v>
      </c>
      <c r="AD13" s="733"/>
      <c r="AE13" s="785" t="s">
        <v>7</v>
      </c>
      <c r="AF13" s="785">
        <v>65.403322407213096</v>
      </c>
      <c r="AG13" s="785">
        <v>34.596677592786904</v>
      </c>
      <c r="AH13" s="785">
        <v>76.024763047940453</v>
      </c>
      <c r="AI13" s="785">
        <v>23.975236952059547</v>
      </c>
      <c r="AJ13" s="785">
        <v>80.7</v>
      </c>
      <c r="AK13" s="785">
        <v>19.299999999999997</v>
      </c>
      <c r="AL13" s="785">
        <v>84.3</v>
      </c>
      <c r="AM13" s="785">
        <v>15.700000000000003</v>
      </c>
      <c r="AN13" s="785">
        <v>84.8</v>
      </c>
      <c r="AO13" s="785">
        <v>15.200000000000003</v>
      </c>
      <c r="AP13" s="785">
        <v>85.3</v>
      </c>
      <c r="AQ13" s="785">
        <v>14.700000000000003</v>
      </c>
      <c r="AR13" s="785">
        <v>90.170862506598752</v>
      </c>
      <c r="AS13" s="785">
        <v>9.8291374934012374</v>
      </c>
      <c r="AT13" s="785">
        <v>88.9</v>
      </c>
      <c r="AU13" s="785">
        <v>11.1</v>
      </c>
      <c r="AV13" s="785">
        <v>89.3</v>
      </c>
      <c r="AW13" s="785">
        <v>10.7</v>
      </c>
      <c r="AX13" s="785">
        <v>87.224968954640218</v>
      </c>
      <c r="AY13" s="785">
        <v>12.775031045359778</v>
      </c>
      <c r="AZ13" s="785">
        <v>86.270863773477885</v>
      </c>
      <c r="BA13" s="785">
        <v>13.729136226522106</v>
      </c>
      <c r="BB13" s="785">
        <v>85.522114507727792</v>
      </c>
      <c r="BC13" s="785">
        <v>14.477885492272208</v>
      </c>
      <c r="BD13" s="778">
        <v>84.327445269285334</v>
      </c>
      <c r="BE13" s="778">
        <v>15.672554730714666</v>
      </c>
      <c r="BF13" s="731"/>
      <c r="BG13" s="731"/>
      <c r="BH13" s="731"/>
      <c r="BI13" s="734">
        <v>6.9898435724658867</v>
      </c>
      <c r="BJ13" s="734">
        <v>5.1537500996700345</v>
      </c>
      <c r="BK13" s="734">
        <v>1.8999999999999915</v>
      </c>
      <c r="BL13" s="734">
        <v>-2.0497383560150837</v>
      </c>
      <c r="BM13" s="734">
        <v>-0.3308464618112481</v>
      </c>
      <c r="BN13" s="734">
        <v>-2.6443616013066134</v>
      </c>
      <c r="BO13" s="734">
        <v>-3.5249464191329452</v>
      </c>
      <c r="BP13" s="734"/>
      <c r="BQ13" s="734">
        <v>10.621440640727357</v>
      </c>
      <c r="BR13" s="734">
        <v>4.6752369520595494</v>
      </c>
      <c r="BS13" s="734">
        <v>8.2000000000000028</v>
      </c>
      <c r="BT13" s="734">
        <v>-1.6750310453597876</v>
      </c>
      <c r="BU13" s="734">
        <v>-0.95410518116233334</v>
      </c>
      <c r="BV13" s="734">
        <v>-1.9434185041925502</v>
      </c>
      <c r="BW13" s="734">
        <v>-4.5725547307146712</v>
      </c>
    </row>
    <row r="14" spans="3:75" ht="10.5" customHeight="1" thickBot="1">
      <c r="C14" s="781" t="s">
        <v>8</v>
      </c>
      <c r="D14" s="780">
        <v>89.374963705696757</v>
      </c>
      <c r="E14" s="780">
        <v>10.625036294303243</v>
      </c>
      <c r="F14" s="780">
        <v>90.857048954213866</v>
      </c>
      <c r="G14" s="780">
        <v>9.142951045786134</v>
      </c>
      <c r="H14" s="780">
        <v>92.5</v>
      </c>
      <c r="I14" s="780">
        <v>7.5</v>
      </c>
      <c r="J14" s="780">
        <v>96.3</v>
      </c>
      <c r="K14" s="780">
        <v>3.7000000000000028</v>
      </c>
      <c r="L14" s="780">
        <v>97.4</v>
      </c>
      <c r="M14" s="780">
        <v>2.5999999999999943</v>
      </c>
      <c r="N14" s="780">
        <v>97.6</v>
      </c>
      <c r="O14" s="780">
        <v>2.4000000000000057</v>
      </c>
      <c r="P14" s="780">
        <v>97.255498350620371</v>
      </c>
      <c r="Q14" s="780">
        <v>2.7445016493796457</v>
      </c>
      <c r="R14" s="780">
        <v>87.7</v>
      </c>
      <c r="S14" s="780">
        <v>12.3</v>
      </c>
      <c r="T14" s="780">
        <v>87.6</v>
      </c>
      <c r="U14" s="780">
        <v>12.4</v>
      </c>
      <c r="V14" s="780">
        <v>86.733904852656764</v>
      </c>
      <c r="W14" s="780">
        <v>13.266095147343238</v>
      </c>
      <c r="X14" s="780">
        <v>85.963851662660474</v>
      </c>
      <c r="Y14" s="780">
        <v>14.036148337339529</v>
      </c>
      <c r="Z14" s="780">
        <v>85.614606481743422</v>
      </c>
      <c r="AA14" s="780">
        <v>14.385393518256578</v>
      </c>
      <c r="AB14" s="780">
        <v>84.471496544236444</v>
      </c>
      <c r="AC14" s="780">
        <v>15.528503455763556</v>
      </c>
      <c r="AD14" s="733"/>
      <c r="AE14" s="784" t="s">
        <v>8</v>
      </c>
      <c r="AF14" s="784">
        <v>64.408031848654375</v>
      </c>
      <c r="AG14" s="784">
        <v>35.591968151345625</v>
      </c>
      <c r="AH14" s="784">
        <v>74.550651393842742</v>
      </c>
      <c r="AI14" s="784">
        <v>25.449348606157258</v>
      </c>
      <c r="AJ14" s="784">
        <v>79.900000000000006</v>
      </c>
      <c r="AK14" s="784">
        <v>20.099999999999994</v>
      </c>
      <c r="AL14" s="784">
        <v>85</v>
      </c>
      <c r="AM14" s="784">
        <v>15</v>
      </c>
      <c r="AN14" s="784">
        <v>86.1</v>
      </c>
      <c r="AO14" s="784">
        <v>13.900000000000006</v>
      </c>
      <c r="AP14" s="784">
        <v>86.5</v>
      </c>
      <c r="AQ14" s="784">
        <v>13.5</v>
      </c>
      <c r="AR14" s="784">
        <v>86.188893699647267</v>
      </c>
      <c r="AS14" s="784">
        <v>13.811106300352726</v>
      </c>
      <c r="AT14" s="784">
        <v>89.7</v>
      </c>
      <c r="AU14" s="784">
        <v>10.3</v>
      </c>
      <c r="AV14" s="784">
        <v>90.2</v>
      </c>
      <c r="AW14" s="784">
        <v>9.8000000000000007</v>
      </c>
      <c r="AX14" s="784">
        <v>91.978239111580052</v>
      </c>
      <c r="AY14" s="784">
        <v>8.0217608884199478</v>
      </c>
      <c r="AZ14" s="784">
        <v>92.283581401372345</v>
      </c>
      <c r="BA14" s="784">
        <v>7.7164185986276657</v>
      </c>
      <c r="BB14" s="784">
        <v>91.302054045118268</v>
      </c>
      <c r="BC14" s="784">
        <v>8.6979459548817317</v>
      </c>
      <c r="BD14" s="760">
        <v>91.646432641377899</v>
      </c>
      <c r="BE14" s="760">
        <v>8.3535673586221009</v>
      </c>
      <c r="BF14" s="731"/>
      <c r="BG14" s="731"/>
      <c r="BH14" s="731"/>
      <c r="BI14" s="734">
        <v>1.4820852485171088</v>
      </c>
      <c r="BJ14" s="734">
        <v>1.642951045786134</v>
      </c>
      <c r="BK14" s="734">
        <v>-4.7999999999999972</v>
      </c>
      <c r="BL14" s="734">
        <v>-0.86609514734323056</v>
      </c>
      <c r="BM14" s="734">
        <v>-0.77005318999628969</v>
      </c>
      <c r="BN14" s="734">
        <v>-1.4923551184240296</v>
      </c>
      <c r="BO14" s="734">
        <v>-3.2285034557635583</v>
      </c>
      <c r="BP14" s="734"/>
      <c r="BQ14" s="734">
        <v>10.142619545188367</v>
      </c>
      <c r="BR14" s="734">
        <v>5.3493486061572639</v>
      </c>
      <c r="BS14" s="734">
        <v>9.7999999999999972</v>
      </c>
      <c r="BT14" s="734">
        <v>2.2782391115800493</v>
      </c>
      <c r="BU14" s="734">
        <v>0.30534228979229283</v>
      </c>
      <c r="BV14" s="734">
        <v>-0.63714875999444587</v>
      </c>
      <c r="BW14" s="734">
        <v>1.9464326413778963</v>
      </c>
    </row>
    <row r="15" spans="3:75" ht="10.5" customHeight="1" thickBot="1">
      <c r="C15" s="782" t="s">
        <v>9</v>
      </c>
      <c r="D15" s="783">
        <v>69.848000608758511</v>
      </c>
      <c r="E15" s="783">
        <v>30.151999391241489</v>
      </c>
      <c r="F15" s="783">
        <v>78.275957519012763</v>
      </c>
      <c r="G15" s="783">
        <v>21.724042480987237</v>
      </c>
      <c r="H15" s="783">
        <v>84.7</v>
      </c>
      <c r="I15" s="783">
        <v>15.299999999999997</v>
      </c>
      <c r="J15" s="783">
        <v>85.6</v>
      </c>
      <c r="K15" s="783">
        <v>14.400000000000006</v>
      </c>
      <c r="L15" s="783">
        <v>86.3</v>
      </c>
      <c r="M15" s="783">
        <v>13.700000000000003</v>
      </c>
      <c r="N15" s="783">
        <v>86</v>
      </c>
      <c r="O15" s="783">
        <v>14</v>
      </c>
      <c r="P15" s="783">
        <v>87.072324047444738</v>
      </c>
      <c r="Q15" s="783">
        <v>12.927675952555251</v>
      </c>
      <c r="R15" s="783">
        <v>88.4</v>
      </c>
      <c r="S15" s="783">
        <v>11.6</v>
      </c>
      <c r="T15" s="783">
        <v>89.2</v>
      </c>
      <c r="U15" s="783">
        <v>10.8</v>
      </c>
      <c r="V15" s="783">
        <v>89.465079338325125</v>
      </c>
      <c r="W15" s="783">
        <v>10.534920661674875</v>
      </c>
      <c r="X15" s="783">
        <v>89.682917272390767</v>
      </c>
      <c r="Y15" s="783">
        <v>10.317082727609229</v>
      </c>
      <c r="Z15" s="783">
        <v>90.454931360351793</v>
      </c>
      <c r="AA15" s="783">
        <v>9.545068639648207</v>
      </c>
      <c r="AB15" s="783">
        <v>92.924981525282703</v>
      </c>
      <c r="AC15" s="783">
        <v>7.0750184747172966</v>
      </c>
      <c r="AD15" s="733"/>
      <c r="AE15" s="785" t="s">
        <v>9</v>
      </c>
      <c r="AF15" s="785">
        <v>44.182551459118066</v>
      </c>
      <c r="AG15" s="785">
        <v>55.817448540881934</v>
      </c>
      <c r="AH15" s="785">
        <v>58.467500418335447</v>
      </c>
      <c r="AI15" s="785">
        <v>41.532499581664553</v>
      </c>
      <c r="AJ15" s="785">
        <v>60.8</v>
      </c>
      <c r="AK15" s="785">
        <v>39.200000000000003</v>
      </c>
      <c r="AL15" s="785">
        <v>59.6</v>
      </c>
      <c r="AM15" s="785">
        <v>40.4</v>
      </c>
      <c r="AN15" s="785">
        <v>59.1</v>
      </c>
      <c r="AO15" s="785">
        <v>40.9</v>
      </c>
      <c r="AP15" s="785">
        <v>58.6</v>
      </c>
      <c r="AQ15" s="785">
        <v>41.4</v>
      </c>
      <c r="AR15" s="785">
        <v>59.879046981019648</v>
      </c>
      <c r="AS15" s="785">
        <v>40.120953018980359</v>
      </c>
      <c r="AT15" s="785">
        <v>78.400000000000006</v>
      </c>
      <c r="AU15" s="785">
        <v>21.6</v>
      </c>
      <c r="AV15" s="785">
        <v>78.3</v>
      </c>
      <c r="AW15" s="785">
        <v>21.7</v>
      </c>
      <c r="AX15" s="785">
        <v>77.958385688633896</v>
      </c>
      <c r="AY15" s="785">
        <v>22.041614311366111</v>
      </c>
      <c r="AZ15" s="785">
        <v>77.275570614653049</v>
      </c>
      <c r="BA15" s="785">
        <v>22.724429385346941</v>
      </c>
      <c r="BB15" s="785">
        <v>77.370372182421647</v>
      </c>
      <c r="BC15" s="785">
        <v>22.629627817578353</v>
      </c>
      <c r="BD15" s="778">
        <v>77.594986869022748</v>
      </c>
      <c r="BE15" s="778">
        <v>22.405013130977252</v>
      </c>
      <c r="BF15" s="735"/>
      <c r="BG15" s="735"/>
      <c r="BH15" s="735"/>
      <c r="BI15" s="734">
        <v>8.4279569102542524</v>
      </c>
      <c r="BJ15" s="734">
        <v>6.4240424809872394</v>
      </c>
      <c r="BK15" s="734">
        <v>3.7000000000000028</v>
      </c>
      <c r="BL15" s="734">
        <v>0.26507933832512265</v>
      </c>
      <c r="BM15" s="734">
        <v>0.217837934065642</v>
      </c>
      <c r="BN15" s="734">
        <v>3.2420642528919359</v>
      </c>
      <c r="BO15" s="734">
        <v>4.5249815252826977</v>
      </c>
      <c r="BP15" s="734"/>
      <c r="BQ15" s="734">
        <v>14.284948959217381</v>
      </c>
      <c r="BR15" s="734">
        <v>2.3324995816645497</v>
      </c>
      <c r="BS15" s="734">
        <v>17.600000000000009</v>
      </c>
      <c r="BT15" s="734">
        <v>-0.44161431136610929</v>
      </c>
      <c r="BU15" s="734">
        <v>-0.68281507398084784</v>
      </c>
      <c r="BV15" s="734">
        <v>0.319416254369699</v>
      </c>
      <c r="BW15" s="734">
        <v>-0.80501313097725813</v>
      </c>
    </row>
    <row r="16" spans="3:75" ht="10.5" customHeight="1" thickBot="1">
      <c r="C16" s="781" t="s">
        <v>12</v>
      </c>
      <c r="D16" s="780">
        <v>57.26872398857271</v>
      </c>
      <c r="E16" s="780">
        <v>42.73127601142729</v>
      </c>
      <c r="F16" s="780">
        <v>65.599999999999994</v>
      </c>
      <c r="G16" s="780">
        <v>30.761317278459444</v>
      </c>
      <c r="H16" s="780">
        <v>73.5</v>
      </c>
      <c r="I16" s="780">
        <v>26.5</v>
      </c>
      <c r="J16" s="780">
        <v>77.599999999999994</v>
      </c>
      <c r="K16" s="780">
        <v>22.400000000000006</v>
      </c>
      <c r="L16" s="780">
        <v>77.400000000000006</v>
      </c>
      <c r="M16" s="780">
        <v>22.599999999999994</v>
      </c>
      <c r="N16" s="780">
        <v>77.8</v>
      </c>
      <c r="O16" s="780">
        <v>22.200000000000003</v>
      </c>
      <c r="P16" s="780">
        <v>78.441158563689783</v>
      </c>
      <c r="Q16" s="780">
        <v>21.558841436310221</v>
      </c>
      <c r="R16" s="780">
        <v>73.5</v>
      </c>
      <c r="S16" s="780">
        <v>26.5</v>
      </c>
      <c r="T16" s="780">
        <v>74.3</v>
      </c>
      <c r="U16" s="780">
        <v>25.7</v>
      </c>
      <c r="V16" s="780">
        <v>74.525017902767786</v>
      </c>
      <c r="W16" s="780">
        <v>25.474982097232214</v>
      </c>
      <c r="X16" s="780">
        <v>75.254980611791183</v>
      </c>
      <c r="Y16" s="780">
        <v>24.745019388208807</v>
      </c>
      <c r="Z16" s="780">
        <v>78.067583129430929</v>
      </c>
      <c r="AA16" s="780">
        <v>21.932416870569071</v>
      </c>
      <c r="AB16" s="780">
        <v>80.406478627728788</v>
      </c>
      <c r="AC16" s="780">
        <v>19.593521372271212</v>
      </c>
      <c r="AD16" s="733"/>
      <c r="AE16" s="784" t="s">
        <v>12</v>
      </c>
      <c r="AF16" s="784">
        <v>38.407891836423254</v>
      </c>
      <c r="AG16" s="784">
        <v>61.592108163576746</v>
      </c>
      <c r="AH16" s="784">
        <v>52.6</v>
      </c>
      <c r="AI16" s="784">
        <v>40.654554471987502</v>
      </c>
      <c r="AJ16" s="784">
        <v>59.3</v>
      </c>
      <c r="AK16" s="784">
        <v>40.700000000000003</v>
      </c>
      <c r="AL16" s="784">
        <v>59.2</v>
      </c>
      <c r="AM16" s="784">
        <v>40.799999999999997</v>
      </c>
      <c r="AN16" s="784">
        <v>59.3</v>
      </c>
      <c r="AO16" s="784">
        <v>40.700000000000003</v>
      </c>
      <c r="AP16" s="784">
        <v>59.6</v>
      </c>
      <c r="AQ16" s="784">
        <v>40.4</v>
      </c>
      <c r="AR16" s="784">
        <v>59.589793946039549</v>
      </c>
      <c r="AS16" s="784">
        <v>40.410206053960451</v>
      </c>
      <c r="AT16" s="784">
        <v>74.7</v>
      </c>
      <c r="AU16" s="784">
        <v>25.3</v>
      </c>
      <c r="AV16" s="784">
        <v>74.900000000000006</v>
      </c>
      <c r="AW16" s="784">
        <v>25.1</v>
      </c>
      <c r="AX16" s="784">
        <v>74.870231956938895</v>
      </c>
      <c r="AY16" s="784">
        <v>25.129768043061102</v>
      </c>
      <c r="AZ16" s="784">
        <v>75.057219156395718</v>
      </c>
      <c r="BA16" s="784">
        <v>24.942780843604282</v>
      </c>
      <c r="BB16" s="784">
        <v>75.523318315651693</v>
      </c>
      <c r="BC16" s="784">
        <v>24.476681684348307</v>
      </c>
      <c r="BD16" s="760">
        <v>75.732385265905393</v>
      </c>
      <c r="BE16" s="760">
        <v>24.267614734094607</v>
      </c>
      <c r="BF16" s="735"/>
      <c r="BG16" s="735"/>
      <c r="BH16" s="735"/>
      <c r="BI16" s="734">
        <v>8.3312760114272848</v>
      </c>
      <c r="BJ16" s="734">
        <v>7.9000000000000057</v>
      </c>
      <c r="BK16" s="734">
        <v>0</v>
      </c>
      <c r="BL16" s="734">
        <v>0.22501790276778877</v>
      </c>
      <c r="BM16" s="734">
        <v>0.72996270902339688</v>
      </c>
      <c r="BN16" s="734">
        <v>5.1514980159376051</v>
      </c>
      <c r="BO16" s="734">
        <v>6.906478627728788</v>
      </c>
      <c r="BP16" s="734"/>
      <c r="BQ16" s="734">
        <v>14.192108163576748</v>
      </c>
      <c r="BR16" s="734">
        <v>6.6999999999999957</v>
      </c>
      <c r="BS16" s="734">
        <v>15.400000000000006</v>
      </c>
      <c r="BT16" s="734">
        <v>0.17023195693889193</v>
      </c>
      <c r="BU16" s="734">
        <v>0.18698719945682285</v>
      </c>
      <c r="BV16" s="734">
        <v>0.67516610950967504</v>
      </c>
      <c r="BW16" s="734">
        <v>1.0323852659053898</v>
      </c>
    </row>
    <row r="17" spans="2:75" ht="10.5" customHeight="1" thickBot="1">
      <c r="C17" s="782" t="s">
        <v>13</v>
      </c>
      <c r="D17" s="783">
        <v>87.5671251405672</v>
      </c>
      <c r="E17" s="783">
        <v>12.4328748594328</v>
      </c>
      <c r="F17" s="783">
        <v>91.791867062819918</v>
      </c>
      <c r="G17" s="783">
        <v>8.208132937180082</v>
      </c>
      <c r="H17" s="783">
        <v>93.1</v>
      </c>
      <c r="I17" s="783">
        <v>6.9000000000000057</v>
      </c>
      <c r="J17" s="783">
        <v>96.5</v>
      </c>
      <c r="K17" s="783">
        <v>3.5</v>
      </c>
      <c r="L17" s="783">
        <v>97.1</v>
      </c>
      <c r="M17" s="783">
        <v>2.9000000000000057</v>
      </c>
      <c r="N17" s="783">
        <v>96.6</v>
      </c>
      <c r="O17" s="783">
        <v>3.4000000000000057</v>
      </c>
      <c r="P17" s="783">
        <v>95.379336003370724</v>
      </c>
      <c r="Q17" s="783">
        <v>4.6206639966292773</v>
      </c>
      <c r="R17" s="783">
        <v>92.9</v>
      </c>
      <c r="S17" s="783">
        <v>7.1</v>
      </c>
      <c r="T17" s="783">
        <v>92.9</v>
      </c>
      <c r="U17" s="783">
        <v>7.1</v>
      </c>
      <c r="V17" s="783">
        <v>93.920975768394712</v>
      </c>
      <c r="W17" s="783">
        <v>6.07902423160529</v>
      </c>
      <c r="X17" s="783">
        <v>94.481611076169429</v>
      </c>
      <c r="Y17" s="783">
        <v>5.5183889238305754</v>
      </c>
      <c r="Z17" s="783">
        <v>94.757083914947586</v>
      </c>
      <c r="AA17" s="783">
        <v>5.2429160850524141</v>
      </c>
      <c r="AB17" s="783">
        <v>95.094157704923191</v>
      </c>
      <c r="AC17" s="783">
        <v>4.905842295076809</v>
      </c>
      <c r="AD17" s="733"/>
      <c r="AE17" s="785" t="s">
        <v>13</v>
      </c>
      <c r="AF17" s="785">
        <v>65.761560492995301</v>
      </c>
      <c r="AG17" s="785">
        <v>34.238439507004699</v>
      </c>
      <c r="AH17" s="785">
        <v>79.015780680120628</v>
      </c>
      <c r="AI17" s="785">
        <v>20.984219319879372</v>
      </c>
      <c r="AJ17" s="785">
        <v>84.3</v>
      </c>
      <c r="AK17" s="785">
        <v>15.700000000000003</v>
      </c>
      <c r="AL17" s="785">
        <v>89.3</v>
      </c>
      <c r="AM17" s="785">
        <v>10.700000000000003</v>
      </c>
      <c r="AN17" s="785">
        <v>90.1</v>
      </c>
      <c r="AO17" s="785">
        <v>9.9000000000000057</v>
      </c>
      <c r="AP17" s="785">
        <v>89.9</v>
      </c>
      <c r="AQ17" s="785">
        <v>10.099999999999994</v>
      </c>
      <c r="AR17" s="785">
        <v>89.296159745945431</v>
      </c>
      <c r="AS17" s="785">
        <v>10.703840254054573</v>
      </c>
      <c r="AT17" s="785">
        <v>89.8</v>
      </c>
      <c r="AU17" s="785">
        <v>10.199999999999999</v>
      </c>
      <c r="AV17" s="785">
        <v>90</v>
      </c>
      <c r="AW17" s="785">
        <v>10</v>
      </c>
      <c r="AX17" s="785">
        <v>89.620209914268528</v>
      </c>
      <c r="AY17" s="785">
        <v>10.379790085731464</v>
      </c>
      <c r="AZ17" s="785">
        <v>90.068485524906521</v>
      </c>
      <c r="BA17" s="785">
        <v>9.9315144750934774</v>
      </c>
      <c r="BB17" s="785">
        <v>90.036385272981263</v>
      </c>
      <c r="BC17" s="785">
        <v>9.9636147270187365</v>
      </c>
      <c r="BD17" s="778">
        <v>90.182184950968065</v>
      </c>
      <c r="BE17" s="778">
        <v>9.8178150490319354</v>
      </c>
      <c r="BF17" s="735"/>
      <c r="BG17" s="735"/>
      <c r="BH17" s="735"/>
      <c r="BI17" s="734">
        <v>4.2247419222527185</v>
      </c>
      <c r="BJ17" s="734">
        <v>1.3081329371800763</v>
      </c>
      <c r="BK17" s="734">
        <v>-0.19999999999998863</v>
      </c>
      <c r="BL17" s="734">
        <v>1.0209757683947061</v>
      </c>
      <c r="BM17" s="734">
        <v>0.56063530777471726</v>
      </c>
      <c r="BN17" s="734">
        <v>0.61254662875376198</v>
      </c>
      <c r="BO17" s="734">
        <v>2.1941577049231853</v>
      </c>
      <c r="BP17" s="734"/>
      <c r="BQ17" s="734">
        <v>13.254220187125327</v>
      </c>
      <c r="BR17" s="734">
        <v>5.2842193198793694</v>
      </c>
      <c r="BS17" s="734">
        <v>5.5</v>
      </c>
      <c r="BT17" s="734">
        <v>-0.17979008573146871</v>
      </c>
      <c r="BU17" s="734">
        <v>0.44827561063799237</v>
      </c>
      <c r="BV17" s="734">
        <v>0.11369942606154382</v>
      </c>
      <c r="BW17" s="734">
        <v>0.38218495096806748</v>
      </c>
    </row>
    <row r="18" spans="2:75" ht="10.5" customHeight="1" thickBot="1">
      <c r="C18" s="781" t="s">
        <v>223</v>
      </c>
      <c r="D18" s="780">
        <v>91.917229120761391</v>
      </c>
      <c r="E18" s="780">
        <v>8.082770879238609</v>
      </c>
      <c r="F18" s="780">
        <v>94.585410864941622</v>
      </c>
      <c r="G18" s="780">
        <v>5.4145891350583781</v>
      </c>
      <c r="H18" s="780">
        <v>97</v>
      </c>
      <c r="I18" s="780">
        <v>3</v>
      </c>
      <c r="J18" s="780">
        <v>99</v>
      </c>
      <c r="K18" s="780">
        <v>1</v>
      </c>
      <c r="L18" s="780">
        <v>99.6</v>
      </c>
      <c r="M18" s="780">
        <v>0.40000000000000568</v>
      </c>
      <c r="N18" s="780">
        <v>99.7</v>
      </c>
      <c r="O18" s="780">
        <v>0.29999999999999716</v>
      </c>
      <c r="P18" s="780">
        <v>99.170133657732549</v>
      </c>
      <c r="Q18" s="780">
        <v>0.82986634226745015</v>
      </c>
      <c r="R18" s="780">
        <v>97.3</v>
      </c>
      <c r="S18" s="780">
        <v>2.7</v>
      </c>
      <c r="T18" s="780">
        <v>97.3</v>
      </c>
      <c r="U18" s="780">
        <v>2.7</v>
      </c>
      <c r="V18" s="780">
        <v>97.881858902849871</v>
      </c>
      <c r="W18" s="780">
        <v>2.1181410971501324</v>
      </c>
      <c r="X18" s="780">
        <v>97.522735829667539</v>
      </c>
      <c r="Y18" s="780">
        <v>2.4772641703324649</v>
      </c>
      <c r="Z18" s="780">
        <v>97.078427746145266</v>
      </c>
      <c r="AA18" s="780">
        <v>2.921572253854734</v>
      </c>
      <c r="AB18" s="780">
        <v>97.35324287673194</v>
      </c>
      <c r="AC18" s="780">
        <v>2.6467571232680598</v>
      </c>
      <c r="AD18" s="733"/>
      <c r="AE18" s="784" t="s">
        <v>223</v>
      </c>
      <c r="AF18" s="784">
        <v>67.330855961467947</v>
      </c>
      <c r="AG18" s="784">
        <v>32.669144038532053</v>
      </c>
      <c r="AH18" s="784">
        <v>76.08106728175926</v>
      </c>
      <c r="AI18" s="784">
        <v>23.91893271824074</v>
      </c>
      <c r="AJ18" s="784">
        <v>83.3</v>
      </c>
      <c r="AK18" s="784">
        <v>16.700000000000003</v>
      </c>
      <c r="AL18" s="784">
        <v>87.7</v>
      </c>
      <c r="AM18" s="784">
        <v>12.299999999999997</v>
      </c>
      <c r="AN18" s="784">
        <v>88.1</v>
      </c>
      <c r="AO18" s="784">
        <v>11.900000000000006</v>
      </c>
      <c r="AP18" s="784">
        <v>87.7</v>
      </c>
      <c r="AQ18" s="784">
        <v>12.299999999999997</v>
      </c>
      <c r="AR18" s="784">
        <v>87.929962236453122</v>
      </c>
      <c r="AS18" s="784">
        <v>12.070037763546878</v>
      </c>
      <c r="AT18" s="784">
        <v>91.5</v>
      </c>
      <c r="AU18" s="784">
        <v>8.5</v>
      </c>
      <c r="AV18" s="784">
        <v>91.6</v>
      </c>
      <c r="AW18" s="784">
        <v>8.4</v>
      </c>
      <c r="AX18" s="784">
        <v>92.525727419314137</v>
      </c>
      <c r="AY18" s="784">
        <v>7.4742725806858674</v>
      </c>
      <c r="AZ18" s="784">
        <v>92.724682600400357</v>
      </c>
      <c r="BA18" s="784">
        <v>7.275317399599647</v>
      </c>
      <c r="BB18" s="784">
        <v>92.58075263713441</v>
      </c>
      <c r="BC18" s="784">
        <v>7.4192473628655904</v>
      </c>
      <c r="BD18" s="760">
        <v>92.827196385542194</v>
      </c>
      <c r="BE18" s="760">
        <v>7.1728036144578056</v>
      </c>
      <c r="BF18" s="735"/>
      <c r="BG18" s="735"/>
      <c r="BH18" s="735"/>
      <c r="BI18" s="734">
        <v>2.6681817441802309</v>
      </c>
      <c r="BJ18" s="734">
        <v>2.4145891350583781</v>
      </c>
      <c r="BK18" s="734">
        <v>0.29999999999999716</v>
      </c>
      <c r="BL18" s="734">
        <v>0.58185890284987352</v>
      </c>
      <c r="BM18" s="734">
        <v>-0.35912307318233161</v>
      </c>
      <c r="BN18" s="734">
        <v>-0.16949295293559885</v>
      </c>
      <c r="BO18" s="734">
        <v>5.3242876731943056E-2</v>
      </c>
      <c r="BP18" s="734"/>
      <c r="BQ18" s="734">
        <v>8.7502113202913137</v>
      </c>
      <c r="BR18" s="734">
        <v>7.2189327182407368</v>
      </c>
      <c r="BS18" s="734">
        <v>8.2000000000000028</v>
      </c>
      <c r="BT18" s="734">
        <v>1.025727419314137</v>
      </c>
      <c r="BU18" s="734">
        <v>0.19895518108621957</v>
      </c>
      <c r="BV18" s="734">
        <v>0.10251378514183784</v>
      </c>
      <c r="BW18" s="734">
        <v>1.3271963855421944</v>
      </c>
    </row>
    <row r="19" spans="2:75" ht="10.5" customHeight="1" thickBot="1">
      <c r="C19" s="782" t="s">
        <v>11</v>
      </c>
      <c r="D19" s="783">
        <v>93.028256624095789</v>
      </c>
      <c r="E19" s="783">
        <v>6.9717433759042109</v>
      </c>
      <c r="F19" s="783">
        <v>95.822020120325817</v>
      </c>
      <c r="G19" s="783">
        <v>4.1779798796741829</v>
      </c>
      <c r="H19" s="783">
        <v>97.1</v>
      </c>
      <c r="I19" s="783">
        <v>2.9000000000000057</v>
      </c>
      <c r="J19" s="783">
        <v>98.3</v>
      </c>
      <c r="K19" s="783">
        <v>1.7000000000000028</v>
      </c>
      <c r="L19" s="783">
        <v>98.7</v>
      </c>
      <c r="M19" s="783">
        <v>1.2999999999999972</v>
      </c>
      <c r="N19" s="783">
        <v>98.3</v>
      </c>
      <c r="O19" s="783">
        <v>1.7000000000000028</v>
      </c>
      <c r="P19" s="783">
        <v>97.960544864588925</v>
      </c>
      <c r="Q19" s="783">
        <v>2.039455135411091</v>
      </c>
      <c r="R19" s="783">
        <v>97.8</v>
      </c>
      <c r="S19" s="783">
        <v>2.2000000000000002</v>
      </c>
      <c r="T19" s="783">
        <v>98.3</v>
      </c>
      <c r="U19" s="783">
        <v>1.7</v>
      </c>
      <c r="V19" s="783">
        <v>97.928299818528913</v>
      </c>
      <c r="W19" s="783">
        <v>2.0717001814710945</v>
      </c>
      <c r="X19" s="783">
        <v>97.482564125950816</v>
      </c>
      <c r="Y19" s="783">
        <v>2.5174358740491924</v>
      </c>
      <c r="Z19" s="783">
        <v>97.183649592116055</v>
      </c>
      <c r="AA19" s="783">
        <v>2.8163504078839452</v>
      </c>
      <c r="AB19" s="783">
        <v>96.600232851527636</v>
      </c>
      <c r="AC19" s="783">
        <v>3.3997671484723639</v>
      </c>
      <c r="AD19" s="733"/>
      <c r="AE19" s="785" t="s">
        <v>11</v>
      </c>
      <c r="AF19" s="785">
        <v>81.837881811716073</v>
      </c>
      <c r="AG19" s="785">
        <v>18.162118188283927</v>
      </c>
      <c r="AH19" s="785">
        <v>93.943889214415989</v>
      </c>
      <c r="AI19" s="785">
        <v>6.0561107855840106</v>
      </c>
      <c r="AJ19" s="785">
        <v>93.1</v>
      </c>
      <c r="AK19" s="785">
        <v>6.9000000000000057</v>
      </c>
      <c r="AL19" s="785">
        <v>96.6</v>
      </c>
      <c r="AM19" s="785">
        <v>3.4000000000000057</v>
      </c>
      <c r="AN19" s="785">
        <v>97.6</v>
      </c>
      <c r="AO19" s="785">
        <v>2.4000000000000057</v>
      </c>
      <c r="AP19" s="785">
        <v>98.3</v>
      </c>
      <c r="AQ19" s="785">
        <v>1.7000000000000028</v>
      </c>
      <c r="AR19" s="785">
        <v>98.138706368477898</v>
      </c>
      <c r="AS19" s="785">
        <v>1.8612936315220991</v>
      </c>
      <c r="AT19" s="785">
        <v>98.2</v>
      </c>
      <c r="AU19" s="785">
        <v>1.8</v>
      </c>
      <c r="AV19" s="785">
        <v>99.6</v>
      </c>
      <c r="AW19" s="785">
        <v>0.4</v>
      </c>
      <c r="AX19" s="785">
        <v>99.420168514991659</v>
      </c>
      <c r="AY19" s="785">
        <v>0.57983148500834325</v>
      </c>
      <c r="AZ19" s="785">
        <v>98.83644565780962</v>
      </c>
      <c r="BA19" s="785">
        <v>1.163554342190374</v>
      </c>
      <c r="BB19" s="785">
        <v>98.160891340626748</v>
      </c>
      <c r="BC19" s="785">
        <v>1.8391086593732524</v>
      </c>
      <c r="BD19" s="778">
        <v>97.446967644133181</v>
      </c>
      <c r="BE19" s="778">
        <v>2.5530323558668186</v>
      </c>
      <c r="BF19" s="735"/>
      <c r="BG19" s="735"/>
      <c r="BH19" s="735"/>
      <c r="BI19" s="734">
        <v>2.793763496230028</v>
      </c>
      <c r="BJ19" s="734">
        <v>1.2779798796741773</v>
      </c>
      <c r="BK19" s="734">
        <v>0.70000000000000284</v>
      </c>
      <c r="BL19" s="734">
        <v>-0.37170018147108408</v>
      </c>
      <c r="BM19" s="734">
        <v>-0.44573569257809709</v>
      </c>
      <c r="BN19" s="734">
        <v>-0.88233127442317993</v>
      </c>
      <c r="BO19" s="734">
        <v>-1.1997671484723611</v>
      </c>
      <c r="BP19" s="734"/>
      <c r="BQ19" s="734">
        <v>12.106007402699916</v>
      </c>
      <c r="BR19" s="734">
        <v>-0.84388921441599507</v>
      </c>
      <c r="BS19" s="734">
        <v>5.1000000000000085</v>
      </c>
      <c r="BT19" s="734">
        <v>1.2201685149916557</v>
      </c>
      <c r="BU19" s="734">
        <v>-0.58372285718203898</v>
      </c>
      <c r="BV19" s="734">
        <v>-1.3894780136764382</v>
      </c>
      <c r="BW19" s="734">
        <v>-0.75303235586682149</v>
      </c>
    </row>
    <row r="20" spans="2:75" ht="10.5" customHeight="1" thickBot="1">
      <c r="C20" s="781" t="s">
        <v>14</v>
      </c>
      <c r="D20" s="780">
        <v>96.126720840533167</v>
      </c>
      <c r="E20" s="780">
        <v>3.8732791594668328</v>
      </c>
      <c r="F20" s="780">
        <v>97.737636814841721</v>
      </c>
      <c r="G20" s="780">
        <v>2.2623631851582786</v>
      </c>
      <c r="H20" s="780">
        <v>97.9</v>
      </c>
      <c r="I20" s="780">
        <v>2.0999999999999943</v>
      </c>
      <c r="J20" s="780">
        <v>97.4</v>
      </c>
      <c r="K20" s="780">
        <v>2.5999999999999943</v>
      </c>
      <c r="L20" s="780">
        <v>98.2</v>
      </c>
      <c r="M20" s="780">
        <v>1.7999999999999972</v>
      </c>
      <c r="N20" s="780">
        <v>99</v>
      </c>
      <c r="O20" s="780">
        <v>1</v>
      </c>
      <c r="P20" s="780">
        <v>99.545627640597701</v>
      </c>
      <c r="Q20" s="780">
        <v>0.45437235940230203</v>
      </c>
      <c r="R20" s="780">
        <v>97.6</v>
      </c>
      <c r="S20" s="780">
        <v>2.4</v>
      </c>
      <c r="T20" s="780">
        <v>97.6</v>
      </c>
      <c r="U20" s="780">
        <v>2.4</v>
      </c>
      <c r="V20" s="780">
        <v>97.789593365363743</v>
      </c>
      <c r="W20" s="780">
        <v>2.2104066346362656</v>
      </c>
      <c r="X20" s="780">
        <v>97.902887125350375</v>
      </c>
      <c r="Y20" s="780">
        <v>2.0971128746496226</v>
      </c>
      <c r="Z20" s="780">
        <v>98.15956821449133</v>
      </c>
      <c r="AA20" s="780">
        <v>1.8404317855086703</v>
      </c>
      <c r="AB20" s="780">
        <v>98.400758390119933</v>
      </c>
      <c r="AC20" s="780">
        <v>1.5992416098800675</v>
      </c>
      <c r="AD20" s="733"/>
      <c r="AE20" s="784" t="s">
        <v>14</v>
      </c>
      <c r="AF20" s="784">
        <v>93.297224227308277</v>
      </c>
      <c r="AG20" s="784">
        <v>6.702775772691723</v>
      </c>
      <c r="AH20" s="784">
        <v>97.699700323040716</v>
      </c>
      <c r="AI20" s="784">
        <v>2.3002996769592841</v>
      </c>
      <c r="AJ20" s="784">
        <v>98.1</v>
      </c>
      <c r="AK20" s="784">
        <v>1.9000000000000057</v>
      </c>
      <c r="AL20" s="784">
        <v>97.6</v>
      </c>
      <c r="AM20" s="784">
        <v>2.4000000000000057</v>
      </c>
      <c r="AN20" s="784">
        <v>98.1</v>
      </c>
      <c r="AO20" s="784">
        <v>1.9000000000000057</v>
      </c>
      <c r="AP20" s="784">
        <v>98.9</v>
      </c>
      <c r="AQ20" s="784">
        <v>1.0999999999999943</v>
      </c>
      <c r="AR20" s="784">
        <v>99.492963429949526</v>
      </c>
      <c r="AS20" s="784">
        <v>0.50703657005047975</v>
      </c>
      <c r="AT20" s="784">
        <v>98.6</v>
      </c>
      <c r="AU20" s="784">
        <v>1.4</v>
      </c>
      <c r="AV20" s="784">
        <v>98.7</v>
      </c>
      <c r="AW20" s="784">
        <v>1.3</v>
      </c>
      <c r="AX20" s="784">
        <v>98.769662789606684</v>
      </c>
      <c r="AY20" s="784">
        <v>1.230337210393313</v>
      </c>
      <c r="AZ20" s="784">
        <v>98.87356916590511</v>
      </c>
      <c r="BA20" s="784">
        <v>1.1264308340948941</v>
      </c>
      <c r="BB20" s="784">
        <v>98.831047574245119</v>
      </c>
      <c r="BC20" s="784">
        <v>1.1689524257548811</v>
      </c>
      <c r="BD20" s="760">
        <v>98.892018266868149</v>
      </c>
      <c r="BE20" s="760">
        <v>1.1079817331318509</v>
      </c>
      <c r="BF20" s="735"/>
      <c r="BG20" s="735"/>
      <c r="BH20" s="735"/>
      <c r="BI20" s="734">
        <v>1.6109159743085542</v>
      </c>
      <c r="BJ20" s="734">
        <v>0.1623631851582843</v>
      </c>
      <c r="BK20" s="734">
        <v>-0.30000000000001137</v>
      </c>
      <c r="BL20" s="734">
        <v>0.18959336536374849</v>
      </c>
      <c r="BM20" s="734">
        <v>0.11329375998663238</v>
      </c>
      <c r="BN20" s="734">
        <v>0.49787126476955734</v>
      </c>
      <c r="BO20" s="734">
        <v>0.80075839011993821</v>
      </c>
      <c r="BP20" s="734"/>
      <c r="BQ20" s="734">
        <v>4.4024760957324389</v>
      </c>
      <c r="BR20" s="734">
        <v>0.40029967695927837</v>
      </c>
      <c r="BS20" s="734">
        <v>0.5</v>
      </c>
      <c r="BT20" s="734">
        <v>0.16966278960669001</v>
      </c>
      <c r="BU20" s="734">
        <v>0.10390637629842558</v>
      </c>
      <c r="BV20" s="734">
        <v>1.84491009630392E-2</v>
      </c>
      <c r="BW20" s="734">
        <v>0.2920182668681548</v>
      </c>
    </row>
    <row r="21" spans="2:75" ht="10.5" customHeight="1" thickBot="1">
      <c r="C21" s="782" t="s">
        <v>15</v>
      </c>
      <c r="D21" s="783">
        <v>84.602748298610209</v>
      </c>
      <c r="E21" s="783">
        <v>15.397251701389791</v>
      </c>
      <c r="F21" s="783">
        <v>89.582702402584289</v>
      </c>
      <c r="G21" s="783">
        <v>10.417297597415711</v>
      </c>
      <c r="H21" s="783">
        <v>91.6</v>
      </c>
      <c r="I21" s="783">
        <v>8.4000000000000057</v>
      </c>
      <c r="J21" s="783">
        <v>92.8</v>
      </c>
      <c r="K21" s="783">
        <v>7.2000000000000028</v>
      </c>
      <c r="L21" s="783">
        <v>93.2</v>
      </c>
      <c r="M21" s="783">
        <v>6.7999999999999972</v>
      </c>
      <c r="N21" s="783">
        <v>93.7</v>
      </c>
      <c r="O21" s="783">
        <v>6.2999999999999972</v>
      </c>
      <c r="P21" s="783">
        <v>93.594143430323371</v>
      </c>
      <c r="Q21" s="783">
        <v>6.4058565696766241</v>
      </c>
      <c r="R21" s="783">
        <v>90.9</v>
      </c>
      <c r="S21" s="783">
        <v>9.1</v>
      </c>
      <c r="T21" s="783">
        <v>91.6</v>
      </c>
      <c r="U21" s="783">
        <v>8.4</v>
      </c>
      <c r="V21" s="783">
        <v>93.015227336599153</v>
      </c>
      <c r="W21" s="783">
        <v>6.9847726634008493</v>
      </c>
      <c r="X21" s="783">
        <v>93.700337728846108</v>
      </c>
      <c r="Y21" s="783">
        <v>6.2996622711538883</v>
      </c>
      <c r="Z21" s="783">
        <v>94.993146935038894</v>
      </c>
      <c r="AA21" s="783">
        <v>5.0068530649611063</v>
      </c>
      <c r="AB21" s="783">
        <v>95.598073612151268</v>
      </c>
      <c r="AC21" s="783">
        <v>4.4019263878487322</v>
      </c>
      <c r="AD21" s="733"/>
      <c r="AE21" s="785" t="s">
        <v>15</v>
      </c>
      <c r="AF21" s="785">
        <v>52.489895960991895</v>
      </c>
      <c r="AG21" s="785">
        <v>47.510104039008105</v>
      </c>
      <c r="AH21" s="785">
        <v>64.711832895888008</v>
      </c>
      <c r="AI21" s="785">
        <v>35.288167104111992</v>
      </c>
      <c r="AJ21" s="785">
        <v>71.8</v>
      </c>
      <c r="AK21" s="785">
        <v>28.200000000000003</v>
      </c>
      <c r="AL21" s="785">
        <v>77.2</v>
      </c>
      <c r="AM21" s="785">
        <v>22.799999999999997</v>
      </c>
      <c r="AN21" s="785">
        <v>77.900000000000006</v>
      </c>
      <c r="AO21" s="785">
        <v>22.099999999999994</v>
      </c>
      <c r="AP21" s="785">
        <v>78.5</v>
      </c>
      <c r="AQ21" s="785">
        <v>21.5</v>
      </c>
      <c r="AR21" s="785">
        <v>78.328213057376914</v>
      </c>
      <c r="AS21" s="785">
        <v>21.671786942623086</v>
      </c>
      <c r="AT21" s="785">
        <v>82.6</v>
      </c>
      <c r="AU21" s="785">
        <v>17.399999999999999</v>
      </c>
      <c r="AV21" s="785">
        <v>83.6</v>
      </c>
      <c r="AW21" s="785">
        <v>16.399999999999999</v>
      </c>
      <c r="AX21" s="785">
        <v>85.3504510582123</v>
      </c>
      <c r="AY21" s="785">
        <v>14.649548941787696</v>
      </c>
      <c r="AZ21" s="785">
        <v>86.59923762603357</v>
      </c>
      <c r="BA21" s="785">
        <v>13.40076237396644</v>
      </c>
      <c r="BB21" s="785">
        <v>88.210981048638573</v>
      </c>
      <c r="BC21" s="785">
        <v>11.789018951361427</v>
      </c>
      <c r="BD21" s="778">
        <v>89.329972740707888</v>
      </c>
      <c r="BE21" s="778">
        <v>10.670027259292112</v>
      </c>
      <c r="BF21" s="735"/>
      <c r="BG21" s="735"/>
      <c r="BH21" s="735"/>
      <c r="BI21" s="734">
        <v>4.9799541039740802</v>
      </c>
      <c r="BJ21" s="734">
        <v>2.0172975974157055</v>
      </c>
      <c r="BK21" s="734">
        <v>-0.69999999999998863</v>
      </c>
      <c r="BL21" s="734">
        <v>1.415227336599159</v>
      </c>
      <c r="BM21" s="734">
        <v>0.6851103922469548</v>
      </c>
      <c r="BN21" s="734">
        <v>1.8977358833051596</v>
      </c>
      <c r="BO21" s="734">
        <v>4.6980736121512621</v>
      </c>
      <c r="BP21" s="734"/>
      <c r="BQ21" s="734">
        <v>12.221936934896114</v>
      </c>
      <c r="BR21" s="734">
        <v>7.0881671041119887</v>
      </c>
      <c r="BS21" s="734">
        <v>10.799999999999997</v>
      </c>
      <c r="BT21" s="734">
        <v>2.7504510582123061</v>
      </c>
      <c r="BU21" s="734">
        <v>1.24878656782127</v>
      </c>
      <c r="BV21" s="734">
        <v>2.7307351146743173</v>
      </c>
      <c r="BW21" s="734">
        <v>6.7299727407078933</v>
      </c>
    </row>
    <row r="22" spans="2:75" ht="10.5" customHeight="1" thickBot="1">
      <c r="B22" s="736"/>
      <c r="C22" s="781" t="s">
        <v>16</v>
      </c>
      <c r="D22" s="780">
        <v>82.448873635998893</v>
      </c>
      <c r="E22" s="780">
        <v>17.551126364001107</v>
      </c>
      <c r="F22" s="780">
        <v>88.925446807697028</v>
      </c>
      <c r="G22" s="780">
        <v>11.074553192302972</v>
      </c>
      <c r="H22" s="780">
        <v>92</v>
      </c>
      <c r="I22" s="780">
        <v>8</v>
      </c>
      <c r="J22" s="780">
        <v>94.4</v>
      </c>
      <c r="K22" s="780">
        <v>5.5999999999999943</v>
      </c>
      <c r="L22" s="780">
        <v>94</v>
      </c>
      <c r="M22" s="780">
        <v>6</v>
      </c>
      <c r="N22" s="780">
        <v>94.2</v>
      </c>
      <c r="O22" s="780">
        <v>5.7999999999999972</v>
      </c>
      <c r="P22" s="780">
        <v>94.269986165312389</v>
      </c>
      <c r="Q22" s="780">
        <v>5.7300138346876084</v>
      </c>
      <c r="R22" s="780">
        <v>93.4</v>
      </c>
      <c r="S22" s="780">
        <v>6.6</v>
      </c>
      <c r="T22" s="780">
        <v>93.5</v>
      </c>
      <c r="U22" s="780">
        <v>6.5</v>
      </c>
      <c r="V22" s="780">
        <v>93.538459204951408</v>
      </c>
      <c r="W22" s="780">
        <v>6.4615407950485908</v>
      </c>
      <c r="X22" s="780">
        <v>93.528736966066703</v>
      </c>
      <c r="Y22" s="780">
        <v>6.4712630339332975</v>
      </c>
      <c r="Z22" s="780">
        <v>93.884575174954946</v>
      </c>
      <c r="AA22" s="780">
        <v>6.1154248250450536</v>
      </c>
      <c r="AB22" s="780">
        <v>94.808609364040606</v>
      </c>
      <c r="AC22" s="780">
        <v>5.1913906359593938</v>
      </c>
      <c r="AD22" s="733"/>
      <c r="AE22" s="784" t="s">
        <v>16</v>
      </c>
      <c r="AF22" s="784">
        <v>58.008063872296091</v>
      </c>
      <c r="AG22" s="784">
        <v>41.991936127703909</v>
      </c>
      <c r="AH22" s="784">
        <v>70.619299743497706</v>
      </c>
      <c r="AI22" s="784">
        <v>29.380700256502294</v>
      </c>
      <c r="AJ22" s="784">
        <v>75.3</v>
      </c>
      <c r="AK22" s="784">
        <v>24.700000000000003</v>
      </c>
      <c r="AL22" s="784">
        <v>76.599999999999994</v>
      </c>
      <c r="AM22" s="784">
        <v>23.400000000000006</v>
      </c>
      <c r="AN22" s="784">
        <v>76.3</v>
      </c>
      <c r="AO22" s="784">
        <v>23.700000000000003</v>
      </c>
      <c r="AP22" s="784">
        <v>76.5</v>
      </c>
      <c r="AQ22" s="784">
        <v>23.5</v>
      </c>
      <c r="AR22" s="784">
        <v>76.435196623085758</v>
      </c>
      <c r="AS22" s="784">
        <v>23.564803376914249</v>
      </c>
      <c r="AT22" s="784">
        <v>85.8</v>
      </c>
      <c r="AU22" s="784">
        <v>14.2</v>
      </c>
      <c r="AV22" s="784">
        <v>85.9</v>
      </c>
      <c r="AW22" s="784">
        <v>14.1</v>
      </c>
      <c r="AX22" s="784">
        <v>85.959383775414153</v>
      </c>
      <c r="AY22" s="784">
        <v>14.04061622458585</v>
      </c>
      <c r="AZ22" s="784">
        <v>85.981653680395397</v>
      </c>
      <c r="BA22" s="784">
        <v>14.0183463196046</v>
      </c>
      <c r="BB22" s="784">
        <v>86.483667633373273</v>
      </c>
      <c r="BC22" s="784">
        <v>13.516332366626727</v>
      </c>
      <c r="BD22" s="760">
        <v>86.608959385222803</v>
      </c>
      <c r="BE22" s="760">
        <v>13.391040614777197</v>
      </c>
      <c r="BF22" s="735"/>
      <c r="BG22" s="735"/>
      <c r="BH22" s="735"/>
      <c r="BI22" s="734">
        <v>6.476573171698135</v>
      </c>
      <c r="BJ22" s="734">
        <v>3.0745531923029716</v>
      </c>
      <c r="BK22" s="734">
        <v>1.4000000000000057</v>
      </c>
      <c r="BL22" s="734">
        <v>3.845920495140831E-2</v>
      </c>
      <c r="BM22" s="734">
        <v>-9.7222388847058028E-3</v>
      </c>
      <c r="BN22" s="734">
        <v>1.2798723979739037</v>
      </c>
      <c r="BO22" s="734">
        <v>1.4086093640406006</v>
      </c>
      <c r="BP22" s="734"/>
      <c r="BQ22" s="734">
        <v>12.611235871201615</v>
      </c>
      <c r="BR22" s="734">
        <v>4.6807002565022913</v>
      </c>
      <c r="BS22" s="734">
        <v>10.5</v>
      </c>
      <c r="BT22" s="734">
        <v>0.15938377541415605</v>
      </c>
      <c r="BU22" s="734">
        <v>2.2269904981243371E-2</v>
      </c>
      <c r="BV22" s="734">
        <v>0.62730570482740688</v>
      </c>
      <c r="BW22" s="734">
        <v>0.8089593852228063</v>
      </c>
    </row>
    <row r="23" spans="2:75" ht="10.5" customHeight="1" thickBot="1">
      <c r="C23" s="782" t="s">
        <v>17</v>
      </c>
      <c r="D23" s="783">
        <v>55.116427517519064</v>
      </c>
      <c r="E23" s="783">
        <v>44.883572482480936</v>
      </c>
      <c r="F23" s="783">
        <v>64.744012743455386</v>
      </c>
      <c r="G23" s="783">
        <v>35.255987256544614</v>
      </c>
      <c r="H23" s="783">
        <v>69.099999999999994</v>
      </c>
      <c r="I23" s="783">
        <v>30.900000000000006</v>
      </c>
      <c r="J23" s="783">
        <v>70.3</v>
      </c>
      <c r="K23" s="783">
        <v>29.700000000000003</v>
      </c>
      <c r="L23" s="783">
        <v>70.2</v>
      </c>
      <c r="M23" s="783">
        <v>29.799999999999997</v>
      </c>
      <c r="N23" s="783">
        <v>71.5</v>
      </c>
      <c r="O23" s="783">
        <v>28.5</v>
      </c>
      <c r="P23" s="783">
        <v>72.256715371808568</v>
      </c>
      <c r="Q23" s="783">
        <v>27.743284628191439</v>
      </c>
      <c r="R23" s="783">
        <v>68</v>
      </c>
      <c r="S23" s="783">
        <v>32</v>
      </c>
      <c r="T23" s="783">
        <v>68.599999999999994</v>
      </c>
      <c r="U23" s="783">
        <v>31.4</v>
      </c>
      <c r="V23" s="783">
        <v>70.559638968984103</v>
      </c>
      <c r="W23" s="783">
        <v>29.4403610310159</v>
      </c>
      <c r="X23" s="783">
        <v>72.944409596870429</v>
      </c>
      <c r="Y23" s="783">
        <v>27.055590403129575</v>
      </c>
      <c r="Z23" s="783">
        <v>75.53463450204913</v>
      </c>
      <c r="AA23" s="783">
        <v>24.46536549795087</v>
      </c>
      <c r="AB23" s="783">
        <v>77.765821324840985</v>
      </c>
      <c r="AC23" s="783">
        <v>22.234178675159015</v>
      </c>
      <c r="AD23" s="733"/>
      <c r="AE23" s="785" t="s">
        <v>17</v>
      </c>
      <c r="AF23" s="785">
        <v>34.763848694804913</v>
      </c>
      <c r="AG23" s="785">
        <v>65.236151305195079</v>
      </c>
      <c r="AH23" s="785">
        <v>46.319879996834779</v>
      </c>
      <c r="AI23" s="785">
        <v>53.680120003165221</v>
      </c>
      <c r="AJ23" s="785">
        <v>49.7</v>
      </c>
      <c r="AK23" s="785">
        <v>50.3</v>
      </c>
      <c r="AL23" s="785">
        <v>49.7</v>
      </c>
      <c r="AM23" s="785">
        <v>50.3</v>
      </c>
      <c r="AN23" s="785">
        <v>49.6</v>
      </c>
      <c r="AO23" s="785">
        <v>50.4</v>
      </c>
      <c r="AP23" s="785">
        <v>49.9</v>
      </c>
      <c r="AQ23" s="785">
        <v>50.1</v>
      </c>
      <c r="AR23" s="785">
        <v>50.319110583544159</v>
      </c>
      <c r="AS23" s="785">
        <v>49.680889416455841</v>
      </c>
      <c r="AT23" s="785">
        <v>64.2</v>
      </c>
      <c r="AU23" s="785">
        <v>35.799999999999997</v>
      </c>
      <c r="AV23" s="785">
        <v>64.599999999999994</v>
      </c>
      <c r="AW23" s="785">
        <v>35.4</v>
      </c>
      <c r="AX23" s="785">
        <v>66.073377091477184</v>
      </c>
      <c r="AY23" s="785">
        <v>33.926622908522823</v>
      </c>
      <c r="AZ23" s="785">
        <v>67.330194931438086</v>
      </c>
      <c r="BA23" s="785">
        <v>32.669805068561907</v>
      </c>
      <c r="BB23" s="785">
        <v>70.009570954206851</v>
      </c>
      <c r="BC23" s="785">
        <v>29.990429045793149</v>
      </c>
      <c r="BD23" s="778">
        <v>71.877288174484022</v>
      </c>
      <c r="BE23" s="778">
        <v>28.122711825515978</v>
      </c>
      <c r="BF23" s="735"/>
      <c r="BG23" s="735"/>
      <c r="BH23" s="735"/>
      <c r="BI23" s="734">
        <v>9.6275852259363219</v>
      </c>
      <c r="BJ23" s="734">
        <v>4.3559872565446085</v>
      </c>
      <c r="BK23" s="734">
        <v>-1.0999999999999943</v>
      </c>
      <c r="BL23" s="734">
        <v>1.9596389689841089</v>
      </c>
      <c r="BM23" s="734">
        <v>2.3847706278863257</v>
      </c>
      <c r="BN23" s="734">
        <v>4.8214117279705562</v>
      </c>
      <c r="BO23" s="734">
        <v>9.7658213248409851</v>
      </c>
      <c r="BP23" s="734"/>
      <c r="BQ23" s="734">
        <v>11.556031302029865</v>
      </c>
      <c r="BR23" s="734">
        <v>3.3801200031652243</v>
      </c>
      <c r="BS23" s="734">
        <v>14.5</v>
      </c>
      <c r="BT23" s="734">
        <v>1.873377091477181</v>
      </c>
      <c r="BU23" s="734">
        <v>1.2568178399609025</v>
      </c>
      <c r="BV23" s="734">
        <v>4.5470932430459357</v>
      </c>
      <c r="BW23" s="734">
        <v>7.6772881744840191</v>
      </c>
    </row>
    <row r="24" spans="2:75" ht="10.5" customHeight="1" thickBot="1">
      <c r="C24" s="781" t="s">
        <v>18</v>
      </c>
      <c r="D24" s="780">
        <v>69.438266449591211</v>
      </c>
      <c r="E24" s="780">
        <v>30.561733550408789</v>
      </c>
      <c r="F24" s="780">
        <v>79.450554929075906</v>
      </c>
      <c r="G24" s="780">
        <v>20.549445070924094</v>
      </c>
      <c r="H24" s="780">
        <v>83.9</v>
      </c>
      <c r="I24" s="780">
        <v>16.099999999999994</v>
      </c>
      <c r="J24" s="780">
        <v>85.5</v>
      </c>
      <c r="K24" s="780">
        <v>14.5</v>
      </c>
      <c r="L24" s="780">
        <v>86.5</v>
      </c>
      <c r="M24" s="780">
        <v>13.5</v>
      </c>
      <c r="N24" s="780">
        <v>87.2</v>
      </c>
      <c r="O24" s="780">
        <v>12.799999999999997</v>
      </c>
      <c r="P24" s="780">
        <v>87.918034340747695</v>
      </c>
      <c r="Q24" s="780">
        <v>12.081965659252326</v>
      </c>
      <c r="R24" s="780">
        <v>87.2</v>
      </c>
      <c r="S24" s="780">
        <v>12.8</v>
      </c>
      <c r="T24" s="780">
        <v>88</v>
      </c>
      <c r="U24" s="780">
        <v>12</v>
      </c>
      <c r="V24" s="780">
        <v>88.93380345476362</v>
      </c>
      <c r="W24" s="780">
        <v>11.066196545236382</v>
      </c>
      <c r="X24" s="780">
        <v>90.988850537525011</v>
      </c>
      <c r="Y24" s="780">
        <v>9.0111494624749842</v>
      </c>
      <c r="Z24" s="780">
        <v>91.882243270306446</v>
      </c>
      <c r="AA24" s="780">
        <v>8.1177567296935536</v>
      </c>
      <c r="AB24" s="780">
        <v>93.102580831780273</v>
      </c>
      <c r="AC24" s="780">
        <v>6.8974191682197272</v>
      </c>
      <c r="AD24" s="733"/>
      <c r="AE24" s="784" t="s">
        <v>18</v>
      </c>
      <c r="AF24" s="784">
        <v>41.649541568111523</v>
      </c>
      <c r="AG24" s="784">
        <v>58.350458431888477</v>
      </c>
      <c r="AH24" s="784">
        <v>56.236928007596887</v>
      </c>
      <c r="AI24" s="784">
        <v>43.763071992403113</v>
      </c>
      <c r="AJ24" s="784">
        <v>64</v>
      </c>
      <c r="AK24" s="784">
        <v>36</v>
      </c>
      <c r="AL24" s="784">
        <v>63.5</v>
      </c>
      <c r="AM24" s="784">
        <v>36.5</v>
      </c>
      <c r="AN24" s="784">
        <v>64.3</v>
      </c>
      <c r="AO24" s="784">
        <v>35.700000000000003</v>
      </c>
      <c r="AP24" s="784">
        <v>64.5</v>
      </c>
      <c r="AQ24" s="784">
        <v>35.5</v>
      </c>
      <c r="AR24" s="784">
        <v>65.002873660091851</v>
      </c>
      <c r="AS24" s="784">
        <v>34.997126339908142</v>
      </c>
      <c r="AT24" s="784">
        <v>79.099999999999994</v>
      </c>
      <c r="AU24" s="784">
        <v>20.9</v>
      </c>
      <c r="AV24" s="784">
        <v>79.3</v>
      </c>
      <c r="AW24" s="784">
        <v>20.7</v>
      </c>
      <c r="AX24" s="784">
        <v>79.500897913044071</v>
      </c>
      <c r="AY24" s="784">
        <v>20.499102086955936</v>
      </c>
      <c r="AZ24" s="784">
        <v>80.033791754784133</v>
      </c>
      <c r="BA24" s="784">
        <v>19.966208245215871</v>
      </c>
      <c r="BB24" s="784">
        <v>80.670180255959608</v>
      </c>
      <c r="BC24" s="784">
        <v>19.329819744040392</v>
      </c>
      <c r="BD24" s="760">
        <v>81.219058314795774</v>
      </c>
      <c r="BE24" s="760">
        <v>18.780941685204226</v>
      </c>
      <c r="BF24" s="735"/>
      <c r="BG24" s="735"/>
      <c r="BH24" s="735"/>
      <c r="BI24" s="734">
        <v>10.012288479484695</v>
      </c>
      <c r="BJ24" s="734">
        <v>4.4494450709240994</v>
      </c>
      <c r="BK24" s="734">
        <v>3.2999999999999972</v>
      </c>
      <c r="BL24" s="734">
        <v>0.93380345476361981</v>
      </c>
      <c r="BM24" s="734">
        <v>2.0550470827613907</v>
      </c>
      <c r="BN24" s="734">
        <v>2.1137302942552623</v>
      </c>
      <c r="BO24" s="734">
        <v>5.9025808317802699</v>
      </c>
      <c r="BP24" s="734"/>
      <c r="BQ24" s="734">
        <v>14.587386439485364</v>
      </c>
      <c r="BR24" s="734">
        <v>7.7630719924031126</v>
      </c>
      <c r="BS24" s="734">
        <v>15.099999999999994</v>
      </c>
      <c r="BT24" s="734">
        <v>0.4008979130440764</v>
      </c>
      <c r="BU24" s="734">
        <v>0.53289384174006216</v>
      </c>
      <c r="BV24" s="734">
        <v>1.185266560011641</v>
      </c>
      <c r="BW24" s="734">
        <v>2.1190583147957796</v>
      </c>
    </row>
    <row r="25" spans="2:75" ht="10.5" customHeight="1" thickBot="1">
      <c r="C25" s="782" t="s">
        <v>19</v>
      </c>
      <c r="D25" s="783">
        <v>85.656225628946288</v>
      </c>
      <c r="E25" s="783">
        <v>14.343774371053712</v>
      </c>
      <c r="F25" s="783">
        <v>91.300185653056701</v>
      </c>
      <c r="G25" s="783">
        <v>8.6998143469432989</v>
      </c>
      <c r="H25" s="783">
        <v>92.4</v>
      </c>
      <c r="I25" s="783">
        <v>7.5999999999999943</v>
      </c>
      <c r="J25" s="783">
        <v>93.1</v>
      </c>
      <c r="K25" s="783">
        <v>6.9000000000000057</v>
      </c>
      <c r="L25" s="783">
        <v>93</v>
      </c>
      <c r="M25" s="783">
        <v>7</v>
      </c>
      <c r="N25" s="783">
        <v>93</v>
      </c>
      <c r="O25" s="783">
        <v>7</v>
      </c>
      <c r="P25" s="783">
        <v>92.889849080468963</v>
      </c>
      <c r="Q25" s="783">
        <v>7.1101509195310335</v>
      </c>
      <c r="R25" s="783">
        <v>93.3</v>
      </c>
      <c r="S25" s="783">
        <v>6.7</v>
      </c>
      <c r="T25" s="783">
        <v>93.4</v>
      </c>
      <c r="U25" s="783">
        <v>6.6</v>
      </c>
      <c r="V25" s="783">
        <v>93.023247791807023</v>
      </c>
      <c r="W25" s="783">
        <v>6.9767522081929796</v>
      </c>
      <c r="X25" s="783">
        <v>92.740480890819128</v>
      </c>
      <c r="Y25" s="783">
        <v>7.2595191091808644</v>
      </c>
      <c r="Z25" s="783">
        <v>93.109609871249049</v>
      </c>
      <c r="AA25" s="783">
        <v>6.8903901287509512</v>
      </c>
      <c r="AB25" s="783">
        <v>93.498815808841044</v>
      </c>
      <c r="AC25" s="783">
        <v>6.5011841911589556</v>
      </c>
      <c r="AD25" s="733"/>
      <c r="AE25" s="785" t="s">
        <v>19</v>
      </c>
      <c r="AF25" s="785">
        <v>80.277427230409231</v>
      </c>
      <c r="AG25" s="785">
        <v>19.722572769590769</v>
      </c>
      <c r="AH25" s="785">
        <v>89.549840847230456</v>
      </c>
      <c r="AI25" s="785">
        <v>10.450159152769544</v>
      </c>
      <c r="AJ25" s="785">
        <v>91.2</v>
      </c>
      <c r="AK25" s="785">
        <v>8.7999999999999972</v>
      </c>
      <c r="AL25" s="785">
        <v>91.3</v>
      </c>
      <c r="AM25" s="785">
        <v>8.7000000000000028</v>
      </c>
      <c r="AN25" s="785">
        <v>91</v>
      </c>
      <c r="AO25" s="785">
        <v>9</v>
      </c>
      <c r="AP25" s="785">
        <v>91.2</v>
      </c>
      <c r="AQ25" s="785">
        <v>8.7999999999999972</v>
      </c>
      <c r="AR25" s="785">
        <v>91.240643529868336</v>
      </c>
      <c r="AS25" s="785">
        <v>8.7593564701316673</v>
      </c>
      <c r="AT25" s="785">
        <v>95.8</v>
      </c>
      <c r="AU25" s="785">
        <v>4.2</v>
      </c>
      <c r="AV25" s="785">
        <v>96</v>
      </c>
      <c r="AW25" s="785">
        <v>4</v>
      </c>
      <c r="AX25" s="785">
        <v>96.807985924682839</v>
      </c>
      <c r="AY25" s="785">
        <v>3.1920140753171622</v>
      </c>
      <c r="AZ25" s="785">
        <v>96.434732434309055</v>
      </c>
      <c r="BA25" s="785">
        <v>3.5652675656909398</v>
      </c>
      <c r="BB25" s="785">
        <v>96.803437460366098</v>
      </c>
      <c r="BC25" s="785">
        <v>3.1965625396339021</v>
      </c>
      <c r="BD25" s="778">
        <v>96.771972745672656</v>
      </c>
      <c r="BE25" s="778">
        <v>3.2280272543273441</v>
      </c>
      <c r="BF25" s="735"/>
      <c r="BG25" s="735"/>
      <c r="BH25" s="735"/>
      <c r="BI25" s="734">
        <v>5.6439600241104131</v>
      </c>
      <c r="BJ25" s="734">
        <v>1.0998143469433046</v>
      </c>
      <c r="BK25" s="734">
        <v>0.89999999999999147</v>
      </c>
      <c r="BL25" s="734">
        <v>-0.37675220819298261</v>
      </c>
      <c r="BM25" s="734">
        <v>-0.28276690098789459</v>
      </c>
      <c r="BN25" s="734">
        <v>0.75833491802191588</v>
      </c>
      <c r="BO25" s="734">
        <v>0.19881580884104721</v>
      </c>
      <c r="BP25" s="734"/>
      <c r="BQ25" s="734">
        <v>9.2724136168212254</v>
      </c>
      <c r="BR25" s="734">
        <v>1.6501591527695467</v>
      </c>
      <c r="BS25" s="734">
        <v>4.5999999999999943</v>
      </c>
      <c r="BT25" s="734">
        <v>1.007985924682842</v>
      </c>
      <c r="BU25" s="734">
        <v>-0.3732534903737843</v>
      </c>
      <c r="BV25" s="734">
        <v>0.33724031136360111</v>
      </c>
      <c r="BW25" s="734">
        <v>0.97197274567265879</v>
      </c>
    </row>
    <row r="26" spans="2:75" ht="10.5" customHeight="1" thickBot="1">
      <c r="C26" s="781" t="s">
        <v>20</v>
      </c>
      <c r="D26" s="780">
        <v>84.647666842310116</v>
      </c>
      <c r="E26" s="780">
        <v>15.352333157689884</v>
      </c>
      <c r="F26" s="780">
        <v>91.517217082417929</v>
      </c>
      <c r="G26" s="780">
        <v>8.482782917582071</v>
      </c>
      <c r="H26" s="780">
        <v>92.8</v>
      </c>
      <c r="I26" s="780">
        <v>7.2000000000000028</v>
      </c>
      <c r="J26" s="780">
        <v>92.6</v>
      </c>
      <c r="K26" s="780">
        <v>7.4000000000000057</v>
      </c>
      <c r="L26" s="780">
        <v>92.2</v>
      </c>
      <c r="M26" s="780">
        <v>7.7999999999999972</v>
      </c>
      <c r="N26" s="780">
        <v>91.3</v>
      </c>
      <c r="O26" s="780">
        <v>8.7000000000000028</v>
      </c>
      <c r="P26" s="780">
        <v>90.644266799086324</v>
      </c>
      <c r="Q26" s="780">
        <v>9.3557332009136704</v>
      </c>
      <c r="R26" s="780">
        <v>93.2</v>
      </c>
      <c r="S26" s="780">
        <v>6.8</v>
      </c>
      <c r="T26" s="780">
        <v>93.3</v>
      </c>
      <c r="U26" s="780">
        <v>6.7</v>
      </c>
      <c r="V26" s="780">
        <v>92.382813275184503</v>
      </c>
      <c r="W26" s="780">
        <v>7.6171867248154985</v>
      </c>
      <c r="X26" s="780">
        <v>91.526650011495889</v>
      </c>
      <c r="Y26" s="780">
        <v>8.4733499885041148</v>
      </c>
      <c r="Z26" s="780">
        <v>90.61607533833903</v>
      </c>
      <c r="AA26" s="780">
        <v>9.3839246616609699</v>
      </c>
      <c r="AB26" s="780">
        <v>90.10392626144548</v>
      </c>
      <c r="AC26" s="780">
        <v>9.8960737385545201</v>
      </c>
      <c r="AD26" s="733"/>
      <c r="AE26" s="784" t="s">
        <v>20</v>
      </c>
      <c r="AF26" s="784">
        <v>72.5065343663709</v>
      </c>
      <c r="AG26" s="784">
        <v>27.4934656336291</v>
      </c>
      <c r="AH26" s="784">
        <v>83.416440725765312</v>
      </c>
      <c r="AI26" s="784">
        <v>16.583559274234688</v>
      </c>
      <c r="AJ26" s="784">
        <v>84.9</v>
      </c>
      <c r="AK26" s="784">
        <v>15.099999999999994</v>
      </c>
      <c r="AL26" s="784">
        <v>83.9</v>
      </c>
      <c r="AM26" s="784">
        <v>16.099999999999994</v>
      </c>
      <c r="AN26" s="784">
        <v>83.7</v>
      </c>
      <c r="AO26" s="784">
        <v>16.299999999999997</v>
      </c>
      <c r="AP26" s="784">
        <v>83</v>
      </c>
      <c r="AQ26" s="784">
        <v>17</v>
      </c>
      <c r="AR26" s="784">
        <v>82.712761510831541</v>
      </c>
      <c r="AS26" s="784">
        <v>17.287238489168452</v>
      </c>
      <c r="AT26" s="784">
        <v>91.2</v>
      </c>
      <c r="AU26" s="784">
        <v>8.8000000000000007</v>
      </c>
      <c r="AV26" s="784">
        <v>91.3</v>
      </c>
      <c r="AW26" s="784">
        <v>8.6999999999999993</v>
      </c>
      <c r="AX26" s="784">
        <v>90.143433283697107</v>
      </c>
      <c r="AY26" s="784">
        <v>9.8565667163028987</v>
      </c>
      <c r="AZ26" s="784">
        <v>89.494838724832022</v>
      </c>
      <c r="BA26" s="784">
        <v>10.505161275167985</v>
      </c>
      <c r="BB26" s="784">
        <v>88.576936596321303</v>
      </c>
      <c r="BC26" s="784">
        <v>11.423063403678697</v>
      </c>
      <c r="BD26" s="760">
        <v>88.079390552577337</v>
      </c>
      <c r="BE26" s="760">
        <v>11.920609447422663</v>
      </c>
      <c r="BF26" s="735"/>
      <c r="BG26" s="735"/>
      <c r="BH26" s="735"/>
      <c r="BI26" s="734">
        <v>6.869550240107813</v>
      </c>
      <c r="BJ26" s="734">
        <v>1.2827829175820682</v>
      </c>
      <c r="BK26" s="734">
        <v>0.40000000000000568</v>
      </c>
      <c r="BL26" s="734">
        <v>-0.9171867248154939</v>
      </c>
      <c r="BM26" s="734">
        <v>-0.85616326368861451</v>
      </c>
      <c r="BN26" s="734">
        <v>-1.4227237500504089</v>
      </c>
      <c r="BO26" s="734">
        <v>-3.0960737385545229</v>
      </c>
      <c r="BP26" s="734"/>
      <c r="BQ26" s="734">
        <v>10.909906359394412</v>
      </c>
      <c r="BR26" s="734">
        <v>1.4835592742346932</v>
      </c>
      <c r="BS26" s="734">
        <v>6.2999999999999972</v>
      </c>
      <c r="BT26" s="734">
        <v>-1.0565667163028962</v>
      </c>
      <c r="BU26" s="734">
        <v>-0.64859455886508499</v>
      </c>
      <c r="BV26" s="734">
        <v>-1.4154481722546848</v>
      </c>
      <c r="BW26" s="734">
        <v>-3.120609447422666</v>
      </c>
    </row>
    <row r="27" spans="2:75" ht="10.5" customHeight="1" thickBot="1">
      <c r="C27" s="782" t="s">
        <v>224</v>
      </c>
      <c r="D27" s="783">
        <v>78.206587813472368</v>
      </c>
      <c r="E27" s="783">
        <v>21.793412186527632</v>
      </c>
      <c r="F27" s="783">
        <v>86.43127412255015</v>
      </c>
      <c r="G27" s="783">
        <v>13.56872587744985</v>
      </c>
      <c r="H27" s="783">
        <v>88.2</v>
      </c>
      <c r="I27" s="783">
        <v>11.799999999999997</v>
      </c>
      <c r="J27" s="783">
        <v>90.8</v>
      </c>
      <c r="K27" s="783">
        <v>9.2000000000000028</v>
      </c>
      <c r="L27" s="783">
        <v>90.2</v>
      </c>
      <c r="M27" s="783">
        <v>9.7999999999999972</v>
      </c>
      <c r="N27" s="783">
        <v>90.6</v>
      </c>
      <c r="O27" s="783">
        <v>9.4000000000000057</v>
      </c>
      <c r="P27" s="783">
        <v>90.964658623332156</v>
      </c>
      <c r="Q27" s="783">
        <v>9.0353413766678514</v>
      </c>
      <c r="R27" s="783">
        <v>89.4</v>
      </c>
      <c r="S27" s="783">
        <v>10.6</v>
      </c>
      <c r="T27" s="783">
        <v>89.8</v>
      </c>
      <c r="U27" s="783">
        <v>10.199999999999999</v>
      </c>
      <c r="V27" s="783">
        <v>90.746954717669468</v>
      </c>
      <c r="W27" s="783">
        <v>9.2530452823305289</v>
      </c>
      <c r="X27" s="783">
        <v>91.598790211061242</v>
      </c>
      <c r="Y27" s="783">
        <v>8.401209788938754</v>
      </c>
      <c r="Z27" s="783">
        <v>92.5290969543248</v>
      </c>
      <c r="AA27" s="783">
        <v>7.4709030456752004</v>
      </c>
      <c r="AB27" s="783">
        <v>93.7200765832917</v>
      </c>
      <c r="AC27" s="783">
        <v>6.2799234167083</v>
      </c>
      <c r="AD27" s="733"/>
      <c r="AE27" s="785" t="s">
        <v>224</v>
      </c>
      <c r="AF27" s="785">
        <v>55.49625538910297</v>
      </c>
      <c r="AG27" s="785">
        <v>44.50374461089703</v>
      </c>
      <c r="AH27" s="785">
        <v>69.310363544897129</v>
      </c>
      <c r="AI27" s="785">
        <v>30.689636455102871</v>
      </c>
      <c r="AJ27" s="785">
        <v>72.900000000000006</v>
      </c>
      <c r="AK27" s="785">
        <v>27.099999999999994</v>
      </c>
      <c r="AL27" s="785">
        <v>76.3</v>
      </c>
      <c r="AM27" s="785">
        <v>23.700000000000003</v>
      </c>
      <c r="AN27" s="785">
        <v>75.900000000000006</v>
      </c>
      <c r="AO27" s="785">
        <v>24.099999999999994</v>
      </c>
      <c r="AP27" s="785">
        <v>76.3</v>
      </c>
      <c r="AQ27" s="785">
        <v>23.700000000000003</v>
      </c>
      <c r="AR27" s="785">
        <v>76.542985689962052</v>
      </c>
      <c r="AS27" s="785">
        <v>23.457014310037952</v>
      </c>
      <c r="AT27" s="785">
        <v>84.2</v>
      </c>
      <c r="AU27" s="785">
        <v>15.8</v>
      </c>
      <c r="AV27" s="785">
        <v>84.6</v>
      </c>
      <c r="AW27" s="785">
        <v>15.4</v>
      </c>
      <c r="AX27" s="785">
        <v>85.551228492246736</v>
      </c>
      <c r="AY27" s="785">
        <v>14.448771507753269</v>
      </c>
      <c r="AZ27" s="785">
        <v>86.404619526609039</v>
      </c>
      <c r="BA27" s="785">
        <v>13.595380473390955</v>
      </c>
      <c r="BB27" s="785">
        <v>87.841686453947517</v>
      </c>
      <c r="BC27" s="785">
        <v>12.158313546052483</v>
      </c>
      <c r="BD27" s="778">
        <v>88.668781964635627</v>
      </c>
      <c r="BE27" s="778">
        <v>11.331218035364373</v>
      </c>
      <c r="BF27" s="735"/>
      <c r="BG27" s="735"/>
      <c r="BH27" s="735"/>
      <c r="BI27" s="734">
        <v>8.2246863090777822</v>
      </c>
      <c r="BJ27" s="734">
        <v>1.7687258774498531</v>
      </c>
      <c r="BK27" s="734">
        <v>1.2000000000000028</v>
      </c>
      <c r="BL27" s="734">
        <v>0.94695471766947037</v>
      </c>
      <c r="BM27" s="734">
        <v>0.85183549339177489</v>
      </c>
      <c r="BN27" s="734">
        <v>2.1212863722304576</v>
      </c>
      <c r="BO27" s="734">
        <v>4.3200765832916943</v>
      </c>
      <c r="BP27" s="734"/>
      <c r="BQ27" s="734">
        <v>13.814108155794159</v>
      </c>
      <c r="BR27" s="734">
        <v>3.5896364551028768</v>
      </c>
      <c r="BS27" s="734">
        <v>11.299999999999997</v>
      </c>
      <c r="BT27" s="734">
        <v>1.351228492246733</v>
      </c>
      <c r="BU27" s="734">
        <v>0.85339103436230346</v>
      </c>
      <c r="BV27" s="734">
        <v>2.2641624380265881</v>
      </c>
      <c r="BW27" s="734">
        <v>4.4687819646356246</v>
      </c>
    </row>
    <row r="28" spans="2:75" ht="10.5" customHeight="1" thickBot="1">
      <c r="C28" s="781" t="s">
        <v>22</v>
      </c>
      <c r="D28" s="780">
        <v>88.266095834019438</v>
      </c>
      <c r="E28" s="780">
        <v>11.733904165980562</v>
      </c>
      <c r="F28" s="780">
        <v>90.33460434727175</v>
      </c>
      <c r="G28" s="780">
        <v>9.6653956527282503</v>
      </c>
      <c r="H28" s="780">
        <v>91.6</v>
      </c>
      <c r="I28" s="780">
        <v>8.4000000000000057</v>
      </c>
      <c r="J28" s="780">
        <v>90.9</v>
      </c>
      <c r="K28" s="780">
        <v>9.0999999999999943</v>
      </c>
      <c r="L28" s="780">
        <v>90.2</v>
      </c>
      <c r="M28" s="780">
        <v>9.7999999999999972</v>
      </c>
      <c r="N28" s="780">
        <v>90.6</v>
      </c>
      <c r="O28" s="780">
        <v>9.4000000000000057</v>
      </c>
      <c r="P28" s="780">
        <v>91.026247445947249</v>
      </c>
      <c r="Q28" s="780">
        <v>8.9737525540527461</v>
      </c>
      <c r="R28" s="780">
        <v>91.6</v>
      </c>
      <c r="S28" s="780">
        <v>8.4</v>
      </c>
      <c r="T28" s="780">
        <v>91.9</v>
      </c>
      <c r="U28" s="780">
        <v>8.1</v>
      </c>
      <c r="V28" s="780">
        <v>91.610566150807841</v>
      </c>
      <c r="W28" s="780">
        <v>8.3894338491921676</v>
      </c>
      <c r="X28" s="780">
        <v>91.637278346261979</v>
      </c>
      <c r="Y28" s="780">
        <v>8.36272165373801</v>
      </c>
      <c r="Z28" s="780">
        <v>92.09753870056629</v>
      </c>
      <c r="AA28" s="780">
        <v>7.9024612994337105</v>
      </c>
      <c r="AB28" s="780">
        <v>92.419428994506745</v>
      </c>
      <c r="AC28" s="780">
        <v>7.5805710054932547</v>
      </c>
      <c r="AD28" s="733"/>
      <c r="AE28" s="784" t="s">
        <v>22</v>
      </c>
      <c r="AF28" s="784">
        <v>66.984340101415683</v>
      </c>
      <c r="AG28" s="784">
        <v>33.015659898584317</v>
      </c>
      <c r="AH28" s="784">
        <v>81.163657036640174</v>
      </c>
      <c r="AI28" s="784">
        <v>18.836342963359826</v>
      </c>
      <c r="AJ28" s="784">
        <v>83.6</v>
      </c>
      <c r="AK28" s="784">
        <v>16.400000000000006</v>
      </c>
      <c r="AL28" s="784">
        <v>80.599999999999994</v>
      </c>
      <c r="AM28" s="784">
        <v>19.400000000000006</v>
      </c>
      <c r="AN28" s="784">
        <v>80.3</v>
      </c>
      <c r="AO28" s="784">
        <v>19.700000000000003</v>
      </c>
      <c r="AP28" s="784">
        <v>80</v>
      </c>
      <c r="AQ28" s="784">
        <v>20</v>
      </c>
      <c r="AR28" s="784">
        <v>80.777052756240451</v>
      </c>
      <c r="AS28" s="784">
        <v>19.222947243759549</v>
      </c>
      <c r="AT28" s="784">
        <v>92.6</v>
      </c>
      <c r="AU28" s="784">
        <v>7.4</v>
      </c>
      <c r="AV28" s="784">
        <v>92.7</v>
      </c>
      <c r="AW28" s="784">
        <v>7.3</v>
      </c>
      <c r="AX28" s="784">
        <v>92.411489604898151</v>
      </c>
      <c r="AY28" s="784">
        <v>7.5885103951018422</v>
      </c>
      <c r="AZ28" s="784">
        <v>92.358767172334183</v>
      </c>
      <c r="BA28" s="784">
        <v>7.641232827665827</v>
      </c>
      <c r="BB28" s="784">
        <v>93.304626525399243</v>
      </c>
      <c r="BC28" s="784">
        <v>6.6953734746007569</v>
      </c>
      <c r="BD28" s="760">
        <v>95.686090215073065</v>
      </c>
      <c r="BE28" s="760">
        <v>4.3139097849269348</v>
      </c>
      <c r="BF28" s="735"/>
      <c r="BG28" s="735"/>
      <c r="BH28" s="735"/>
      <c r="BI28" s="734">
        <v>2.0685085132523113</v>
      </c>
      <c r="BJ28" s="734">
        <v>1.2653956527282446</v>
      </c>
      <c r="BK28" s="734">
        <v>0</v>
      </c>
      <c r="BL28" s="734">
        <v>-0.28943384919216442</v>
      </c>
      <c r="BM28" s="734">
        <v>2.6712195454138055E-2</v>
      </c>
      <c r="BN28" s="734">
        <v>0.78215064824476599</v>
      </c>
      <c r="BO28" s="734">
        <v>0.819428994506751</v>
      </c>
      <c r="BP28" s="734"/>
      <c r="BQ28" s="734">
        <v>14.179316935224492</v>
      </c>
      <c r="BR28" s="734">
        <v>2.4363429633598201</v>
      </c>
      <c r="BS28" s="734">
        <v>9</v>
      </c>
      <c r="BT28" s="734">
        <v>-0.18851039510184364</v>
      </c>
      <c r="BU28" s="734">
        <v>-5.2722432563967914E-2</v>
      </c>
      <c r="BV28" s="734">
        <v>3.3273230427388825</v>
      </c>
      <c r="BW28" s="734">
        <v>3.0860902150730709</v>
      </c>
    </row>
    <row r="29" spans="2:75" ht="10.5" customHeight="1" thickBot="1">
      <c r="B29" s="736"/>
      <c r="C29" s="782" t="s">
        <v>23</v>
      </c>
      <c r="D29" s="783">
        <v>83.400681286191002</v>
      </c>
      <c r="E29" s="783">
        <v>16.599318713808998</v>
      </c>
      <c r="F29" s="783">
        <v>86.72039132590956</v>
      </c>
      <c r="G29" s="783">
        <v>13.27960867409044</v>
      </c>
      <c r="H29" s="783">
        <v>89.6</v>
      </c>
      <c r="I29" s="783">
        <v>10.400000000000006</v>
      </c>
      <c r="J29" s="783">
        <v>92</v>
      </c>
      <c r="K29" s="783">
        <v>8</v>
      </c>
      <c r="L29" s="783">
        <v>92.3</v>
      </c>
      <c r="M29" s="783">
        <v>7.7000000000000028</v>
      </c>
      <c r="N29" s="783">
        <v>93.1</v>
      </c>
      <c r="O29" s="783">
        <v>6.9000000000000057</v>
      </c>
      <c r="P29" s="783">
        <v>93.803281828751153</v>
      </c>
      <c r="Q29" s="783">
        <v>6.1967181712488477</v>
      </c>
      <c r="R29" s="783">
        <v>91.4</v>
      </c>
      <c r="S29" s="783">
        <v>8.6</v>
      </c>
      <c r="T29" s="783">
        <v>92</v>
      </c>
      <c r="U29" s="783">
        <v>8</v>
      </c>
      <c r="V29" s="783">
        <v>93.058535943290337</v>
      </c>
      <c r="W29" s="783">
        <v>6.9414640567096617</v>
      </c>
      <c r="X29" s="783">
        <v>94.626747483239043</v>
      </c>
      <c r="Y29" s="783">
        <v>5.3732525167609655</v>
      </c>
      <c r="Z29" s="783">
        <v>96.739475947716386</v>
      </c>
      <c r="AA29" s="783">
        <v>3.2605240522836141</v>
      </c>
      <c r="AB29" s="783">
        <v>97.129866885150278</v>
      </c>
      <c r="AC29" s="783">
        <v>2.8701331148497218</v>
      </c>
      <c r="AD29" s="733"/>
      <c r="AE29" s="785" t="s">
        <v>23</v>
      </c>
      <c r="AF29" s="785">
        <v>59.131254778482855</v>
      </c>
      <c r="AG29" s="785">
        <v>40.868745221517145</v>
      </c>
      <c r="AH29" s="785">
        <v>75.021978269690266</v>
      </c>
      <c r="AI29" s="785">
        <v>24.978021730309734</v>
      </c>
      <c r="AJ29" s="785">
        <v>78.8</v>
      </c>
      <c r="AK29" s="785">
        <v>21.200000000000003</v>
      </c>
      <c r="AL29" s="785">
        <v>80.5</v>
      </c>
      <c r="AM29" s="785">
        <v>19.5</v>
      </c>
      <c r="AN29" s="785">
        <v>80.900000000000006</v>
      </c>
      <c r="AO29" s="785">
        <v>19.099999999999994</v>
      </c>
      <c r="AP29" s="785">
        <v>81.2</v>
      </c>
      <c r="AQ29" s="785">
        <v>18.799999999999997</v>
      </c>
      <c r="AR29" s="785">
        <v>82.191000202099502</v>
      </c>
      <c r="AS29" s="785">
        <v>17.808999797900508</v>
      </c>
      <c r="AT29" s="785">
        <v>90.9</v>
      </c>
      <c r="AU29" s="785">
        <v>9.1</v>
      </c>
      <c r="AV29" s="785">
        <v>91.4</v>
      </c>
      <c r="AW29" s="785">
        <v>8.6</v>
      </c>
      <c r="AX29" s="785">
        <v>92.947593113869502</v>
      </c>
      <c r="AY29" s="785">
        <v>7.0524068861305054</v>
      </c>
      <c r="AZ29" s="785">
        <v>93.830391162950363</v>
      </c>
      <c r="BA29" s="785">
        <v>6.1696088370496289</v>
      </c>
      <c r="BB29" s="785">
        <v>94.916452869827168</v>
      </c>
      <c r="BC29" s="785">
        <v>5.0835471301728319</v>
      </c>
      <c r="BD29" s="778">
        <v>96.009569612484512</v>
      </c>
      <c r="BE29" s="778">
        <v>3.9904303875154881</v>
      </c>
      <c r="BF29" s="735"/>
      <c r="BG29" s="735"/>
      <c r="BH29" s="735"/>
      <c r="BI29" s="734">
        <v>3.3197100397185579</v>
      </c>
      <c r="BJ29" s="734">
        <v>2.8796086740904343</v>
      </c>
      <c r="BK29" s="734">
        <v>1.8000000000000114</v>
      </c>
      <c r="BL29" s="734">
        <v>1.0585359432903374</v>
      </c>
      <c r="BM29" s="734">
        <v>1.568211539948706</v>
      </c>
      <c r="BN29" s="734">
        <v>2.5031194019112348</v>
      </c>
      <c r="BO29" s="734">
        <v>5.7298668851502725</v>
      </c>
      <c r="BP29" s="734"/>
      <c r="BQ29" s="734">
        <v>15.89072349120741</v>
      </c>
      <c r="BR29" s="734">
        <v>3.7780217303097317</v>
      </c>
      <c r="BS29" s="734">
        <v>12.100000000000009</v>
      </c>
      <c r="BT29" s="734">
        <v>2.0475931138694961</v>
      </c>
      <c r="BU29" s="734">
        <v>0.88279804908086135</v>
      </c>
      <c r="BV29" s="734">
        <v>2.1791784495341489</v>
      </c>
      <c r="BW29" s="734">
        <v>5.1095696124845063</v>
      </c>
    </row>
    <row r="30" spans="2:75" ht="10.5" customHeight="1" thickBot="1">
      <c r="C30" s="781" t="s">
        <v>24</v>
      </c>
      <c r="D30" s="780">
        <v>92.941795469718286</v>
      </c>
      <c r="E30" s="780">
        <v>7.0582045302817136</v>
      </c>
      <c r="F30" s="780">
        <v>94.482187723777642</v>
      </c>
      <c r="G30" s="780">
        <v>5.517812276222358</v>
      </c>
      <c r="H30" s="780">
        <v>95.6</v>
      </c>
      <c r="I30" s="780">
        <v>4.4000000000000057</v>
      </c>
      <c r="J30" s="780">
        <v>96.5</v>
      </c>
      <c r="K30" s="780">
        <v>3.5</v>
      </c>
      <c r="L30" s="780">
        <v>97.1</v>
      </c>
      <c r="M30" s="780">
        <v>2.9000000000000057</v>
      </c>
      <c r="N30" s="780">
        <v>97.4</v>
      </c>
      <c r="O30" s="780">
        <v>2.5999999999999943</v>
      </c>
      <c r="P30" s="780">
        <v>96.944857904094249</v>
      </c>
      <c r="Q30" s="780">
        <v>3.0551420959057709</v>
      </c>
      <c r="R30" s="780">
        <v>95.6</v>
      </c>
      <c r="S30" s="780">
        <v>4.4000000000000004</v>
      </c>
      <c r="T30" s="780">
        <v>95.8</v>
      </c>
      <c r="U30" s="780">
        <v>4.2</v>
      </c>
      <c r="V30" s="780">
        <v>95.467481443283688</v>
      </c>
      <c r="W30" s="780">
        <v>4.5325185567163109</v>
      </c>
      <c r="X30" s="780">
        <v>95.199192408259847</v>
      </c>
      <c r="Y30" s="780">
        <v>4.8008075917401509</v>
      </c>
      <c r="Z30" s="780">
        <v>95.156811729845501</v>
      </c>
      <c r="AA30" s="780">
        <v>4.8431882701544993</v>
      </c>
      <c r="AB30" s="780">
        <v>95.018408690004563</v>
      </c>
      <c r="AC30" s="780">
        <v>4.9815913099954372</v>
      </c>
      <c r="AD30" s="733"/>
      <c r="AE30" s="784" t="s">
        <v>24</v>
      </c>
      <c r="AF30" s="784">
        <v>80.845532917985423</v>
      </c>
      <c r="AG30" s="784">
        <v>19.154467082014577</v>
      </c>
      <c r="AH30" s="784">
        <v>88.623243575283752</v>
      </c>
      <c r="AI30" s="784">
        <v>11.376756424716248</v>
      </c>
      <c r="AJ30" s="784">
        <v>91.1</v>
      </c>
      <c r="AK30" s="784">
        <v>8.9000000000000057</v>
      </c>
      <c r="AL30" s="784">
        <v>91.6</v>
      </c>
      <c r="AM30" s="784">
        <v>8.4000000000000057</v>
      </c>
      <c r="AN30" s="784">
        <v>92.2</v>
      </c>
      <c r="AO30" s="784">
        <v>7.7999999999999972</v>
      </c>
      <c r="AP30" s="784">
        <v>91.6</v>
      </c>
      <c r="AQ30" s="784">
        <v>8.4000000000000057</v>
      </c>
      <c r="AR30" s="784">
        <v>91.334509306942635</v>
      </c>
      <c r="AS30" s="784">
        <v>8.6654906930573645</v>
      </c>
      <c r="AT30" s="784">
        <v>95.3</v>
      </c>
      <c r="AU30" s="784">
        <v>4.7</v>
      </c>
      <c r="AV30" s="784">
        <v>95.5</v>
      </c>
      <c r="AW30" s="784">
        <v>4.5</v>
      </c>
      <c r="AX30" s="784">
        <v>95.374078112028627</v>
      </c>
      <c r="AY30" s="784">
        <v>4.625921887971371</v>
      </c>
      <c r="AZ30" s="784">
        <v>95.195857141128542</v>
      </c>
      <c r="BA30" s="784">
        <v>4.8041428588714652</v>
      </c>
      <c r="BB30" s="784">
        <v>95.200835768393347</v>
      </c>
      <c r="BC30" s="784">
        <v>4.7991642316066532</v>
      </c>
      <c r="BD30" s="760">
        <v>95.220701079894326</v>
      </c>
      <c r="BE30" s="760">
        <v>4.7792989201056741</v>
      </c>
      <c r="BF30" s="735"/>
      <c r="BG30" s="735"/>
      <c r="BH30" s="735"/>
      <c r="BI30" s="734">
        <v>1.5403922540593555</v>
      </c>
      <c r="BJ30" s="734">
        <v>1.1178122762223524</v>
      </c>
      <c r="BK30" s="734">
        <v>0</v>
      </c>
      <c r="BL30" s="734">
        <v>-0.33251855671630892</v>
      </c>
      <c r="BM30" s="734">
        <v>-0.26828903502384094</v>
      </c>
      <c r="BN30" s="734">
        <v>-0.1807837182552845</v>
      </c>
      <c r="BO30" s="734">
        <v>-0.58159130999543152</v>
      </c>
      <c r="BP30" s="734"/>
      <c r="BQ30" s="734">
        <v>7.7777106572983286</v>
      </c>
      <c r="BR30" s="734">
        <v>2.4767564247162426</v>
      </c>
      <c r="BS30" s="734">
        <v>4.2000000000000028</v>
      </c>
      <c r="BT30" s="734">
        <v>7.4078112028630017E-2</v>
      </c>
      <c r="BU30" s="734">
        <v>-0.17822097090008526</v>
      </c>
      <c r="BV30" s="734">
        <v>2.4843938765783946E-2</v>
      </c>
      <c r="BW30" s="734">
        <v>-7.92989201056713E-2</v>
      </c>
    </row>
    <row r="31" spans="2:75" ht="10.5" customHeight="1" thickBot="1">
      <c r="C31" s="782" t="s">
        <v>25</v>
      </c>
      <c r="D31" s="783">
        <v>57.209182521005943</v>
      </c>
      <c r="E31" s="783">
        <v>42.790817478994057</v>
      </c>
      <c r="F31" s="783">
        <v>67.029471866742853</v>
      </c>
      <c r="G31" s="783">
        <v>32.970528133257147</v>
      </c>
      <c r="H31" s="783">
        <v>72</v>
      </c>
      <c r="I31" s="783">
        <v>28</v>
      </c>
      <c r="J31" s="783">
        <v>71.8</v>
      </c>
      <c r="K31" s="783">
        <v>28.200000000000003</v>
      </c>
      <c r="L31" s="783">
        <v>72.599999999999994</v>
      </c>
      <c r="M31" s="783">
        <v>27.400000000000006</v>
      </c>
      <c r="N31" s="783">
        <v>73.8</v>
      </c>
      <c r="O31" s="783">
        <v>26.200000000000003</v>
      </c>
      <c r="P31" s="783">
        <v>74.277573376882245</v>
      </c>
      <c r="Q31" s="783">
        <v>25.722426623117762</v>
      </c>
      <c r="R31" s="783">
        <v>73.3</v>
      </c>
      <c r="S31" s="783">
        <v>26.7</v>
      </c>
      <c r="T31" s="783">
        <v>75.2</v>
      </c>
      <c r="U31" s="783">
        <v>24.8</v>
      </c>
      <c r="V31" s="783">
        <v>76.657195439283839</v>
      </c>
      <c r="W31" s="783">
        <v>23.34280456071615</v>
      </c>
      <c r="X31" s="783">
        <v>78.051103860764172</v>
      </c>
      <c r="Y31" s="783">
        <v>21.948896139235828</v>
      </c>
      <c r="Z31" s="783">
        <v>79.762316653608252</v>
      </c>
      <c r="AA31" s="783">
        <v>20.237683346391748</v>
      </c>
      <c r="AB31" s="783">
        <v>81.360485367177333</v>
      </c>
      <c r="AC31" s="783">
        <v>18.639514632822667</v>
      </c>
      <c r="AD31" s="733"/>
      <c r="AE31" s="785" t="s">
        <v>25</v>
      </c>
      <c r="AF31" s="785">
        <v>28.532805895241747</v>
      </c>
      <c r="AG31" s="785">
        <v>71.467194104758249</v>
      </c>
      <c r="AH31" s="785">
        <v>41.971305350196737</v>
      </c>
      <c r="AI31" s="785">
        <v>58.028694649803263</v>
      </c>
      <c r="AJ31" s="785">
        <v>42.9</v>
      </c>
      <c r="AK31" s="785">
        <v>57.1</v>
      </c>
      <c r="AL31" s="785">
        <v>42.7</v>
      </c>
      <c r="AM31" s="785">
        <v>57.3</v>
      </c>
      <c r="AN31" s="785">
        <v>43</v>
      </c>
      <c r="AO31" s="785">
        <v>57</v>
      </c>
      <c r="AP31" s="785">
        <v>43.7</v>
      </c>
      <c r="AQ31" s="785">
        <v>56.3</v>
      </c>
      <c r="AR31" s="785">
        <v>43.883890655631404</v>
      </c>
      <c r="AS31" s="785">
        <v>56.116109344368603</v>
      </c>
      <c r="AT31" s="785">
        <v>60</v>
      </c>
      <c r="AU31" s="785">
        <v>40</v>
      </c>
      <c r="AV31" s="785">
        <v>60.8</v>
      </c>
      <c r="AW31" s="785">
        <v>39.200000000000003</v>
      </c>
      <c r="AX31" s="785">
        <v>62.17338676333182</v>
      </c>
      <c r="AY31" s="785">
        <v>37.826613236668187</v>
      </c>
      <c r="AZ31" s="785">
        <v>62.770096300432741</v>
      </c>
      <c r="BA31" s="785">
        <v>37.229903699567259</v>
      </c>
      <c r="BB31" s="785">
        <v>64.220260472553363</v>
      </c>
      <c r="BC31" s="785">
        <v>35.779739527446637</v>
      </c>
      <c r="BD31" s="778">
        <v>66.160480050946546</v>
      </c>
      <c r="BE31" s="778">
        <v>33.839519949053454</v>
      </c>
      <c r="BF31" s="735"/>
      <c r="BG31" s="735"/>
      <c r="BH31" s="735"/>
      <c r="BI31" s="734">
        <v>9.82028934573691</v>
      </c>
      <c r="BJ31" s="734">
        <v>4.9705281332571474</v>
      </c>
      <c r="BK31" s="734">
        <v>1.2999999999999972</v>
      </c>
      <c r="BL31" s="734">
        <v>1.4571954392838364</v>
      </c>
      <c r="BM31" s="734">
        <v>1.393908421480333</v>
      </c>
      <c r="BN31" s="734">
        <v>3.3093815064131604</v>
      </c>
      <c r="BO31" s="734">
        <v>8.0604853671773355</v>
      </c>
      <c r="BP31" s="734"/>
      <c r="BQ31" s="734">
        <v>13.438499454954989</v>
      </c>
      <c r="BR31" s="734">
        <v>0.928694649803262</v>
      </c>
      <c r="BS31" s="734">
        <v>17.100000000000001</v>
      </c>
      <c r="BT31" s="734">
        <v>2.1733867633318198</v>
      </c>
      <c r="BU31" s="734">
        <v>0.59670953710092078</v>
      </c>
      <c r="BV31" s="734">
        <v>3.3903837505138057</v>
      </c>
      <c r="BW31" s="734">
        <v>6.1604800509465463</v>
      </c>
    </row>
    <row r="32" spans="2:75" ht="10.5" customHeight="1" thickBot="1">
      <c r="B32" s="737"/>
      <c r="C32" s="781" t="s">
        <v>36</v>
      </c>
      <c r="D32" s="780">
        <v>70.155847941386781</v>
      </c>
      <c r="E32" s="780">
        <v>29.844152058613219</v>
      </c>
      <c r="F32" s="780">
        <v>78.648902396005752</v>
      </c>
      <c r="G32" s="780">
        <v>21.351097603994248</v>
      </c>
      <c r="H32" s="780">
        <v>82.8</v>
      </c>
      <c r="I32" s="780">
        <v>17.200000000000003</v>
      </c>
      <c r="J32" s="780">
        <v>83.6</v>
      </c>
      <c r="K32" s="780">
        <v>16.400000000000006</v>
      </c>
      <c r="L32" s="780">
        <v>83.4</v>
      </c>
      <c r="M32" s="780">
        <v>16.599999999999994</v>
      </c>
      <c r="N32" s="780">
        <v>83.8</v>
      </c>
      <c r="O32" s="780">
        <v>16.200000000000003</v>
      </c>
      <c r="P32" s="780">
        <v>83.720512183676945</v>
      </c>
      <c r="Q32" s="780">
        <v>16.279487816323059</v>
      </c>
      <c r="R32" s="780">
        <v>85.4</v>
      </c>
      <c r="S32" s="780">
        <v>14.6</v>
      </c>
      <c r="T32" s="780">
        <v>85.5</v>
      </c>
      <c r="U32" s="780">
        <v>14.5</v>
      </c>
      <c r="V32" s="780">
        <v>85.293335443036369</v>
      </c>
      <c r="W32" s="780">
        <v>14.706664556963627</v>
      </c>
      <c r="X32" s="780">
        <v>85.284823307928761</v>
      </c>
      <c r="Y32" s="780">
        <v>14.715176692071246</v>
      </c>
      <c r="Z32" s="780">
        <v>85.120002295376949</v>
      </c>
      <c r="AA32" s="780">
        <v>14.879997704623051</v>
      </c>
      <c r="AB32" s="780">
        <v>84.930956946081452</v>
      </c>
      <c r="AC32" s="780">
        <v>15.069043053918548</v>
      </c>
      <c r="AD32" s="733"/>
      <c r="AE32" s="784" t="s">
        <v>36</v>
      </c>
      <c r="AF32" s="784">
        <v>45.289831936910176</v>
      </c>
      <c r="AG32" s="784">
        <v>54.710168063089824</v>
      </c>
      <c r="AH32" s="784">
        <v>56.520077062925679</v>
      </c>
      <c r="AI32" s="784">
        <v>43.479922937074321</v>
      </c>
      <c r="AJ32" s="784">
        <v>62.8</v>
      </c>
      <c r="AK32" s="784">
        <v>37.200000000000003</v>
      </c>
      <c r="AL32" s="784">
        <v>63.2</v>
      </c>
      <c r="AM32" s="784">
        <v>36.799999999999997</v>
      </c>
      <c r="AN32" s="784">
        <v>63.2</v>
      </c>
      <c r="AO32" s="784">
        <v>36.799999999999997</v>
      </c>
      <c r="AP32" s="784">
        <v>63.8</v>
      </c>
      <c r="AQ32" s="784">
        <v>36.200000000000003</v>
      </c>
      <c r="AR32" s="784">
        <v>63.886249004022758</v>
      </c>
      <c r="AS32" s="784">
        <v>36.113750995977242</v>
      </c>
      <c r="AT32" s="784">
        <v>79</v>
      </c>
      <c r="AU32" s="784">
        <v>21</v>
      </c>
      <c r="AV32" s="784">
        <v>79.3</v>
      </c>
      <c r="AW32" s="784">
        <v>20.7</v>
      </c>
      <c r="AX32" s="784">
        <v>79.250136865011626</v>
      </c>
      <c r="AY32" s="784">
        <v>20.749863134988384</v>
      </c>
      <c r="AZ32" s="784">
        <v>79.58232101943598</v>
      </c>
      <c r="BA32" s="784">
        <v>20.41767898056403</v>
      </c>
      <c r="BB32" s="784">
        <v>80.127045469433924</v>
      </c>
      <c r="BC32" s="784">
        <v>19.872954530566076</v>
      </c>
      <c r="BD32" s="760">
        <v>80.301518733556364</v>
      </c>
      <c r="BE32" s="760">
        <v>19.698481266443636</v>
      </c>
      <c r="BF32" s="735"/>
      <c r="BG32" s="735"/>
      <c r="BH32" s="735"/>
      <c r="BI32" s="734">
        <v>8.4930544546189708</v>
      </c>
      <c r="BJ32" s="734">
        <v>4.1510976039942449</v>
      </c>
      <c r="BK32" s="734">
        <v>2.6000000000000085</v>
      </c>
      <c r="BL32" s="734">
        <v>-0.20666455696363073</v>
      </c>
      <c r="BM32" s="734">
        <v>-8.5121351076082874E-3</v>
      </c>
      <c r="BN32" s="734">
        <v>-0.35386636184730946</v>
      </c>
      <c r="BO32" s="734">
        <v>-0.46904305391855416</v>
      </c>
      <c r="BP32" s="734"/>
      <c r="BQ32" s="734">
        <v>11.230245126015504</v>
      </c>
      <c r="BR32" s="734">
        <v>6.2799229370743177</v>
      </c>
      <c r="BS32" s="734">
        <v>16.200000000000003</v>
      </c>
      <c r="BT32" s="734">
        <v>0.25013686501162624</v>
      </c>
      <c r="BU32" s="734">
        <v>0.33218415442435401</v>
      </c>
      <c r="BV32" s="734">
        <v>0.71919771412038358</v>
      </c>
      <c r="BW32" s="734">
        <v>1.3015187335563638</v>
      </c>
    </row>
    <row r="33" spans="2:75" ht="10.5" customHeight="1" thickBot="1">
      <c r="C33" s="782" t="s">
        <v>225</v>
      </c>
      <c r="D33" s="783">
        <v>82.807787406678344</v>
      </c>
      <c r="E33" s="783">
        <v>17.192212593321656</v>
      </c>
      <c r="F33" s="783">
        <v>89.23262900100228</v>
      </c>
      <c r="G33" s="783">
        <v>10.76737099899772</v>
      </c>
      <c r="H33" s="783">
        <v>92.3</v>
      </c>
      <c r="I33" s="783">
        <v>7.7000000000000028</v>
      </c>
      <c r="J33" s="783">
        <v>96.2</v>
      </c>
      <c r="K33" s="783">
        <v>3.7999999999999972</v>
      </c>
      <c r="L33" s="783">
        <v>96</v>
      </c>
      <c r="M33" s="783">
        <v>4</v>
      </c>
      <c r="N33" s="783">
        <v>96.2</v>
      </c>
      <c r="O33" s="783">
        <v>3.7999999999999972</v>
      </c>
      <c r="P33" s="783">
        <v>95.417475642438362</v>
      </c>
      <c r="Q33" s="783">
        <v>4.5825243575616357</v>
      </c>
      <c r="R33" s="783">
        <v>93.7</v>
      </c>
      <c r="S33" s="783">
        <v>6.3</v>
      </c>
      <c r="T33" s="783">
        <v>93.6</v>
      </c>
      <c r="U33" s="783">
        <v>6.4</v>
      </c>
      <c r="V33" s="783">
        <v>93.101842979643692</v>
      </c>
      <c r="W33" s="783">
        <v>6.8981570203563098</v>
      </c>
      <c r="X33" s="783">
        <v>92.176464450255779</v>
      </c>
      <c r="Y33" s="783">
        <v>7.8235355497442249</v>
      </c>
      <c r="Z33" s="783">
        <v>91.780285567029324</v>
      </c>
      <c r="AA33" s="783">
        <v>8.2197144329706759</v>
      </c>
      <c r="AB33" s="783">
        <v>91.195285487776644</v>
      </c>
      <c r="AC33" s="783">
        <v>8.8047145122233559</v>
      </c>
      <c r="AD33" s="733"/>
      <c r="AE33" s="785" t="s">
        <v>225</v>
      </c>
      <c r="AF33" s="785">
        <v>53.988717382432725</v>
      </c>
      <c r="AG33" s="785">
        <v>46.011282617567275</v>
      </c>
      <c r="AH33" s="785">
        <v>67.232431276760082</v>
      </c>
      <c r="AI33" s="785">
        <v>32.767568723239918</v>
      </c>
      <c r="AJ33" s="785">
        <v>73.7</v>
      </c>
      <c r="AK33" s="785">
        <v>26.299999999999997</v>
      </c>
      <c r="AL33" s="785">
        <v>71.3</v>
      </c>
      <c r="AM33" s="785">
        <v>28.700000000000003</v>
      </c>
      <c r="AN33" s="785">
        <v>71.5</v>
      </c>
      <c r="AO33" s="785">
        <v>28.5</v>
      </c>
      <c r="AP33" s="785">
        <v>71.599999999999994</v>
      </c>
      <c r="AQ33" s="785">
        <v>28.400000000000006</v>
      </c>
      <c r="AR33" s="785">
        <v>71.754067859452391</v>
      </c>
      <c r="AS33" s="785">
        <v>28.245932140547609</v>
      </c>
      <c r="AT33" s="785">
        <v>85.6</v>
      </c>
      <c r="AU33" s="785">
        <v>14.4</v>
      </c>
      <c r="AV33" s="785">
        <v>85.6</v>
      </c>
      <c r="AW33" s="785">
        <v>14.4</v>
      </c>
      <c r="AX33" s="785">
        <v>85.628954207228048</v>
      </c>
      <c r="AY33" s="785">
        <v>14.371045792771955</v>
      </c>
      <c r="AZ33" s="785">
        <v>85.107438583330122</v>
      </c>
      <c r="BA33" s="785">
        <v>14.892561416669887</v>
      </c>
      <c r="BB33" s="785">
        <v>85.273823122257582</v>
      </c>
      <c r="BC33" s="785">
        <v>14.726176877742418</v>
      </c>
      <c r="BD33" s="778">
        <v>84.3623117327123</v>
      </c>
      <c r="BE33" s="778">
        <v>15.6376882672877</v>
      </c>
      <c r="BF33" s="735"/>
      <c r="BG33" s="735"/>
      <c r="BH33" s="735"/>
      <c r="BI33" s="734">
        <v>6.4248415943239365</v>
      </c>
      <c r="BJ33" s="734">
        <v>3.0673709989977169</v>
      </c>
      <c r="BK33" s="734">
        <v>1.4000000000000057</v>
      </c>
      <c r="BL33" s="734">
        <v>-0.49815702035630238</v>
      </c>
      <c r="BM33" s="734">
        <v>-0.92537852938791332</v>
      </c>
      <c r="BN33" s="734">
        <v>-0.9811789624791345</v>
      </c>
      <c r="BO33" s="734">
        <v>-2.5047145122233587</v>
      </c>
      <c r="BP33" s="734"/>
      <c r="BQ33" s="734">
        <v>13.243713894327357</v>
      </c>
      <c r="BR33" s="734">
        <v>6.4675687232399213</v>
      </c>
      <c r="BS33" s="734">
        <v>11.899999999999991</v>
      </c>
      <c r="BT33" s="734">
        <v>2.8954207228053974E-2</v>
      </c>
      <c r="BU33" s="734">
        <v>-0.52151562389792616</v>
      </c>
      <c r="BV33" s="734">
        <v>-0.74512685061782236</v>
      </c>
      <c r="BW33" s="734">
        <v>-1.2376882672876945</v>
      </c>
    </row>
    <row r="34" spans="2:75" ht="10.5" customHeight="1" thickBot="1">
      <c r="C34" s="781" t="s">
        <v>27</v>
      </c>
      <c r="D34" s="780">
        <v>88.710847593315322</v>
      </c>
      <c r="E34" s="780">
        <v>11.289152406684678</v>
      </c>
      <c r="F34" s="780">
        <v>89.099333035126051</v>
      </c>
      <c r="G34" s="780">
        <v>10.900666964873949</v>
      </c>
      <c r="H34" s="780">
        <v>93.8</v>
      </c>
      <c r="I34" s="780">
        <v>6.2000000000000028</v>
      </c>
      <c r="J34" s="780">
        <v>96.8</v>
      </c>
      <c r="K34" s="780">
        <v>3.2000000000000028</v>
      </c>
      <c r="L34" s="780">
        <v>97.6</v>
      </c>
      <c r="M34" s="780">
        <v>2.4000000000000057</v>
      </c>
      <c r="N34" s="780">
        <v>97.9</v>
      </c>
      <c r="O34" s="780">
        <v>2.0999999999999943</v>
      </c>
      <c r="P34" s="780">
        <v>96.717325568040565</v>
      </c>
      <c r="Q34" s="780">
        <v>3.2826744319594439</v>
      </c>
      <c r="R34" s="780">
        <v>94.5</v>
      </c>
      <c r="S34" s="780">
        <v>5.5</v>
      </c>
      <c r="T34" s="780">
        <v>94.4</v>
      </c>
      <c r="U34" s="780">
        <v>5.6</v>
      </c>
      <c r="V34" s="780">
        <v>92.811974310401226</v>
      </c>
      <c r="W34" s="780">
        <v>7.1880256895987777</v>
      </c>
      <c r="X34" s="780">
        <v>93.000788297380751</v>
      </c>
      <c r="Y34" s="780">
        <v>6.9992117026192453</v>
      </c>
      <c r="Z34" s="780">
        <v>92.309958993055147</v>
      </c>
      <c r="AA34" s="780">
        <v>7.6900410069448526</v>
      </c>
      <c r="AB34" s="780">
        <v>90.605141458060629</v>
      </c>
      <c r="AC34" s="780">
        <v>9.3948585419393709</v>
      </c>
      <c r="AD34" s="733"/>
      <c r="AE34" s="784" t="s">
        <v>27</v>
      </c>
      <c r="AF34" s="784">
        <v>54.341163814670267</v>
      </c>
      <c r="AG34" s="784">
        <v>45.658836185329733</v>
      </c>
      <c r="AH34" s="784">
        <v>76.114454430736117</v>
      </c>
      <c r="AI34" s="784">
        <v>23.885545569263883</v>
      </c>
      <c r="AJ34" s="784">
        <v>81.3</v>
      </c>
      <c r="AK34" s="784">
        <v>18.700000000000003</v>
      </c>
      <c r="AL34" s="784">
        <v>84.7</v>
      </c>
      <c r="AM34" s="784">
        <v>15.299999999999997</v>
      </c>
      <c r="AN34" s="784">
        <v>85.8</v>
      </c>
      <c r="AO34" s="784">
        <v>14.200000000000003</v>
      </c>
      <c r="AP34" s="784">
        <v>86.3</v>
      </c>
      <c r="AQ34" s="784">
        <v>13.700000000000003</v>
      </c>
      <c r="AR34" s="784">
        <v>86.29677682743835</v>
      </c>
      <c r="AS34" s="784">
        <v>13.703223172561648</v>
      </c>
      <c r="AT34" s="784">
        <v>98.5</v>
      </c>
      <c r="AU34" s="784">
        <v>10.5</v>
      </c>
      <c r="AV34" s="784">
        <v>89.4</v>
      </c>
      <c r="AW34" s="784">
        <v>10.6</v>
      </c>
      <c r="AX34" s="784">
        <v>87.419545908291994</v>
      </c>
      <c r="AY34" s="784">
        <v>12.580454091708001</v>
      </c>
      <c r="AZ34" s="784">
        <v>86.499307640412709</v>
      </c>
      <c r="BA34" s="784">
        <v>13.500692359587291</v>
      </c>
      <c r="BB34" s="784">
        <v>86.944013315572434</v>
      </c>
      <c r="BC34" s="784">
        <v>13.055986684427566</v>
      </c>
      <c r="BD34" s="760">
        <v>84.819079501973079</v>
      </c>
      <c r="BE34" s="760">
        <v>15.180920498026921</v>
      </c>
      <c r="BF34" s="735"/>
      <c r="BG34" s="735"/>
      <c r="BH34" s="735"/>
      <c r="BI34" s="734">
        <v>0.38848544181072953</v>
      </c>
      <c r="BJ34" s="734">
        <v>4.7006669648739461</v>
      </c>
      <c r="BK34" s="734">
        <v>0.70000000000000284</v>
      </c>
      <c r="BL34" s="734">
        <v>-1.5880256895987799</v>
      </c>
      <c r="BM34" s="734">
        <v>0.18881398697952534</v>
      </c>
      <c r="BN34" s="734">
        <v>-2.395646839320122</v>
      </c>
      <c r="BO34" s="734">
        <v>-3.8948585419393709</v>
      </c>
      <c r="BP34" s="734"/>
      <c r="BQ34" s="734">
        <v>21.77329061606585</v>
      </c>
      <c r="BR34" s="734">
        <v>5.1855455692638799</v>
      </c>
      <c r="BS34" s="734">
        <v>17.200000000000003</v>
      </c>
      <c r="BT34" s="734">
        <v>-11.080454091708006</v>
      </c>
      <c r="BU34" s="734">
        <v>-0.92023826787928442</v>
      </c>
      <c r="BV34" s="734">
        <v>-1.6802281384396309</v>
      </c>
      <c r="BW34" s="734">
        <v>-13.680920498026921</v>
      </c>
    </row>
    <row r="35" spans="2:75" ht="10.5" customHeight="1" thickBot="1">
      <c r="C35" s="782" t="s">
        <v>28</v>
      </c>
      <c r="D35" s="783">
        <v>65.530354788927113</v>
      </c>
      <c r="E35" s="783">
        <v>34.469645211072887</v>
      </c>
      <c r="F35" s="783">
        <v>73.549512809283996</v>
      </c>
      <c r="G35" s="783">
        <v>26.450487190716004</v>
      </c>
      <c r="H35" s="783">
        <v>78.2</v>
      </c>
      <c r="I35" s="783">
        <v>21.799999999999997</v>
      </c>
      <c r="J35" s="783">
        <v>78.2</v>
      </c>
      <c r="K35" s="783">
        <v>21.799999999999997</v>
      </c>
      <c r="L35" s="783">
        <v>78.3</v>
      </c>
      <c r="M35" s="783">
        <v>21.700000000000003</v>
      </c>
      <c r="N35" s="783">
        <v>78.900000000000006</v>
      </c>
      <c r="O35" s="783">
        <v>21.099999999999994</v>
      </c>
      <c r="P35" s="783">
        <v>79.956526554744286</v>
      </c>
      <c r="Q35" s="783">
        <v>20.043473445255707</v>
      </c>
      <c r="R35" s="783">
        <v>82.7</v>
      </c>
      <c r="S35" s="783">
        <v>17.3</v>
      </c>
      <c r="T35" s="783">
        <v>83.5</v>
      </c>
      <c r="U35" s="783">
        <v>16.5</v>
      </c>
      <c r="V35" s="783">
        <v>84.854815136782634</v>
      </c>
      <c r="W35" s="783">
        <v>15.145184863217365</v>
      </c>
      <c r="X35" s="783">
        <v>85.578098899486733</v>
      </c>
      <c r="Y35" s="783">
        <v>14.421901100513265</v>
      </c>
      <c r="Z35" s="783">
        <v>86.629665301254306</v>
      </c>
      <c r="AA35" s="783">
        <v>13.370334698745694</v>
      </c>
      <c r="AB35" s="783">
        <v>87.814157332071545</v>
      </c>
      <c r="AC35" s="783">
        <v>12.185842667928455</v>
      </c>
      <c r="AD35" s="733"/>
      <c r="AE35" s="785" t="s">
        <v>28</v>
      </c>
      <c r="AF35" s="785">
        <v>46.218612352506192</v>
      </c>
      <c r="AG35" s="785">
        <v>53.781387647493808</v>
      </c>
      <c r="AH35" s="785">
        <v>53.489389460623315</v>
      </c>
      <c r="AI35" s="785">
        <v>46.510610539376685</v>
      </c>
      <c r="AJ35" s="785">
        <v>59.2</v>
      </c>
      <c r="AK35" s="785">
        <v>40.799999999999997</v>
      </c>
      <c r="AL35" s="785">
        <v>59.8</v>
      </c>
      <c r="AM35" s="785">
        <v>40.200000000000003</v>
      </c>
      <c r="AN35" s="785">
        <v>59.9</v>
      </c>
      <c r="AO35" s="785">
        <v>40.1</v>
      </c>
      <c r="AP35" s="785">
        <v>60.5</v>
      </c>
      <c r="AQ35" s="785">
        <v>39.5</v>
      </c>
      <c r="AR35" s="785">
        <v>61.342926365915574</v>
      </c>
      <c r="AS35" s="785">
        <v>38.657073634084433</v>
      </c>
      <c r="AT35" s="785">
        <v>74.2</v>
      </c>
      <c r="AU35" s="785">
        <v>25.8</v>
      </c>
      <c r="AV35" s="785">
        <v>74.7</v>
      </c>
      <c r="AW35" s="785">
        <v>25.3</v>
      </c>
      <c r="AX35" s="785">
        <v>75.841039586363934</v>
      </c>
      <c r="AY35" s="785">
        <v>24.158960413636066</v>
      </c>
      <c r="AZ35" s="785">
        <v>76.239405193571287</v>
      </c>
      <c r="BA35" s="785">
        <v>23.760594806428713</v>
      </c>
      <c r="BB35" s="785">
        <v>76.829231473685127</v>
      </c>
      <c r="BC35" s="785">
        <v>23.170768526314873</v>
      </c>
      <c r="BD35" s="778">
        <v>77.707007332630411</v>
      </c>
      <c r="BE35" s="778">
        <v>22.292992667369589</v>
      </c>
      <c r="BF35" s="735"/>
      <c r="BG35" s="735"/>
      <c r="BH35" s="735"/>
      <c r="BI35" s="734">
        <v>8.0191580203568833</v>
      </c>
      <c r="BJ35" s="734">
        <v>4.6504871907160066</v>
      </c>
      <c r="BK35" s="734">
        <v>4.5</v>
      </c>
      <c r="BL35" s="734">
        <v>1.3548151367826335</v>
      </c>
      <c r="BM35" s="734">
        <v>0.72328376270409933</v>
      </c>
      <c r="BN35" s="734">
        <v>2.2360584325848123</v>
      </c>
      <c r="BO35" s="734">
        <v>5.1141573320715423</v>
      </c>
      <c r="BP35" s="734"/>
      <c r="BQ35" s="734">
        <v>7.2707771081171231</v>
      </c>
      <c r="BR35" s="734">
        <v>5.7106105393766882</v>
      </c>
      <c r="BS35" s="734">
        <v>15</v>
      </c>
      <c r="BT35" s="734">
        <v>1.6410395863639309</v>
      </c>
      <c r="BU35" s="734">
        <v>0.39836560720735292</v>
      </c>
      <c r="BV35" s="734">
        <v>1.4676021390591245</v>
      </c>
      <c r="BW35" s="734">
        <v>3.5070073326304083</v>
      </c>
    </row>
    <row r="36" spans="2:75" ht="10.5" customHeight="1" thickBot="1">
      <c r="C36" s="781" t="s">
        <v>29</v>
      </c>
      <c r="D36" s="780">
        <v>79.811216675722292</v>
      </c>
      <c r="E36" s="780">
        <v>20.188783324277708</v>
      </c>
      <c r="F36" s="780">
        <v>87.987055279317076</v>
      </c>
      <c r="G36" s="780">
        <v>12.012944720682924</v>
      </c>
      <c r="H36" s="780">
        <v>91.8</v>
      </c>
      <c r="I36" s="780">
        <v>8.2000000000000028</v>
      </c>
      <c r="J36" s="780">
        <v>95.3</v>
      </c>
      <c r="K36" s="780">
        <v>4.7000000000000028</v>
      </c>
      <c r="L36" s="780">
        <v>96.3</v>
      </c>
      <c r="M36" s="780">
        <v>3.7000000000000028</v>
      </c>
      <c r="N36" s="780">
        <v>96.6</v>
      </c>
      <c r="O36" s="780">
        <v>3.4000000000000057</v>
      </c>
      <c r="P36" s="780">
        <v>96.969823234622453</v>
      </c>
      <c r="Q36" s="780">
        <v>3.0301767653775444</v>
      </c>
      <c r="R36" s="780">
        <v>93.1</v>
      </c>
      <c r="S36" s="780">
        <v>6.9</v>
      </c>
      <c r="T36" s="780">
        <v>93.6</v>
      </c>
      <c r="U36" s="780">
        <v>6.4</v>
      </c>
      <c r="V36" s="780">
        <v>94.353716797016347</v>
      </c>
      <c r="W36" s="780">
        <v>5.6462832029836436</v>
      </c>
      <c r="X36" s="780">
        <v>95.076867059987592</v>
      </c>
      <c r="Y36" s="780">
        <v>4.92313294001241</v>
      </c>
      <c r="Z36" s="780">
        <v>95.268163830996514</v>
      </c>
      <c r="AA36" s="780">
        <v>4.7318361690034862</v>
      </c>
      <c r="AB36" s="780">
        <v>95.664658562508862</v>
      </c>
      <c r="AC36" s="780">
        <v>4.3353414374911381</v>
      </c>
      <c r="AD36" s="733"/>
      <c r="AE36" s="784" t="s">
        <v>29</v>
      </c>
      <c r="AF36" s="784">
        <v>53.455391807979659</v>
      </c>
      <c r="AG36" s="784">
        <v>46.544608192020341</v>
      </c>
      <c r="AH36" s="784">
        <v>67.283135274073473</v>
      </c>
      <c r="AI36" s="784">
        <v>32.716864725926527</v>
      </c>
      <c r="AJ36" s="784">
        <v>73.099999999999994</v>
      </c>
      <c r="AK36" s="784">
        <v>26.900000000000006</v>
      </c>
      <c r="AL36" s="784">
        <v>77.099999999999994</v>
      </c>
      <c r="AM36" s="784">
        <v>22.900000000000006</v>
      </c>
      <c r="AN36" s="784">
        <v>78.400000000000006</v>
      </c>
      <c r="AO36" s="784">
        <v>21.599999999999994</v>
      </c>
      <c r="AP36" s="784">
        <v>79.599999999999994</v>
      </c>
      <c r="AQ36" s="784">
        <v>20.400000000000006</v>
      </c>
      <c r="AR36" s="784">
        <v>79.423666531790204</v>
      </c>
      <c r="AS36" s="784">
        <v>20.5763334682098</v>
      </c>
      <c r="AT36" s="784">
        <v>86.4</v>
      </c>
      <c r="AU36" s="784">
        <v>13.6</v>
      </c>
      <c r="AV36" s="784">
        <v>88.1</v>
      </c>
      <c r="AW36" s="784">
        <v>11.9</v>
      </c>
      <c r="AX36" s="784">
        <v>89.072726542010798</v>
      </c>
      <c r="AY36" s="784">
        <v>10.927273457989211</v>
      </c>
      <c r="AZ36" s="784">
        <v>89.840855205580198</v>
      </c>
      <c r="BA36" s="784">
        <v>10.159144794419808</v>
      </c>
      <c r="BB36" s="784">
        <v>91.137977940740839</v>
      </c>
      <c r="BC36" s="784">
        <v>8.8620220592591608</v>
      </c>
      <c r="BD36" s="760">
        <v>92.748000021151128</v>
      </c>
      <c r="BE36" s="760">
        <v>7.2519999788488718</v>
      </c>
      <c r="BF36" s="735"/>
      <c r="BG36" s="735"/>
      <c r="BH36" s="735"/>
      <c r="BI36" s="734">
        <v>8.1758386035947836</v>
      </c>
      <c r="BJ36" s="734">
        <v>3.8129447206829212</v>
      </c>
      <c r="BK36" s="734">
        <v>1.2999999999999972</v>
      </c>
      <c r="BL36" s="734">
        <v>0.7537167970163523</v>
      </c>
      <c r="BM36" s="734">
        <v>0.72315026297124518</v>
      </c>
      <c r="BN36" s="734">
        <v>0.5877915025212701</v>
      </c>
      <c r="BO36" s="734">
        <v>2.5646585625088676</v>
      </c>
      <c r="BP36" s="734"/>
      <c r="BQ36" s="734">
        <v>13.827743466093814</v>
      </c>
      <c r="BR36" s="734">
        <v>5.8168647259265214</v>
      </c>
      <c r="BS36" s="734">
        <v>13.300000000000011</v>
      </c>
      <c r="BT36" s="734">
        <v>2.6727265420107926</v>
      </c>
      <c r="BU36" s="734">
        <v>0.76812866356939935</v>
      </c>
      <c r="BV36" s="734">
        <v>2.9071448155709305</v>
      </c>
      <c r="BW36" s="734">
        <v>6.3480000211511225</v>
      </c>
    </row>
    <row r="37" spans="2:75" ht="10.5" customHeight="1" thickBot="1">
      <c r="C37" s="782" t="s">
        <v>37</v>
      </c>
      <c r="D37" s="783">
        <v>91.024342180620778</v>
      </c>
      <c r="E37" s="783">
        <v>8.9756578193792222</v>
      </c>
      <c r="F37" s="783">
        <v>93.985675880456228</v>
      </c>
      <c r="G37" s="783">
        <v>6.0143241195437724</v>
      </c>
      <c r="H37" s="783">
        <v>95.7</v>
      </c>
      <c r="I37" s="783">
        <v>4.2999999999999972</v>
      </c>
      <c r="J37" s="783">
        <v>97.4</v>
      </c>
      <c r="K37" s="783">
        <v>2.5999999999999943</v>
      </c>
      <c r="L37" s="783">
        <v>98</v>
      </c>
      <c r="M37" s="783">
        <v>2</v>
      </c>
      <c r="N37" s="783">
        <v>97.7</v>
      </c>
      <c r="O37" s="783">
        <v>2.2999999999999972</v>
      </c>
      <c r="P37" s="783">
        <v>97.531513179113688</v>
      </c>
      <c r="Q37" s="783">
        <v>2.4684868208863149</v>
      </c>
      <c r="R37" s="783">
        <v>95.2</v>
      </c>
      <c r="S37" s="783">
        <v>4.8</v>
      </c>
      <c r="T37" s="783">
        <v>95.4</v>
      </c>
      <c r="U37" s="783">
        <v>4.5999999999999996</v>
      </c>
      <c r="V37" s="783">
        <v>95.321179237758329</v>
      </c>
      <c r="W37" s="783">
        <v>4.6788207622416795</v>
      </c>
      <c r="X37" s="783">
        <v>95.674223570045925</v>
      </c>
      <c r="Y37" s="783">
        <v>4.325776429954078</v>
      </c>
      <c r="Z37" s="783">
        <v>96.077115812892401</v>
      </c>
      <c r="AA37" s="783">
        <v>3.9228841871075986</v>
      </c>
      <c r="AB37" s="783">
        <v>95.971686025740098</v>
      </c>
      <c r="AC37" s="783">
        <v>4.0283139742599019</v>
      </c>
      <c r="AD37" s="733"/>
      <c r="AE37" s="785" t="s">
        <v>37</v>
      </c>
      <c r="AF37" s="785">
        <v>64.878322459106272</v>
      </c>
      <c r="AG37" s="785">
        <v>35.121677540893728</v>
      </c>
      <c r="AH37" s="785">
        <v>73.469086181826782</v>
      </c>
      <c r="AI37" s="785">
        <v>26.530913818173218</v>
      </c>
      <c r="AJ37" s="785">
        <v>78.2</v>
      </c>
      <c r="AK37" s="785">
        <v>21.799999999999997</v>
      </c>
      <c r="AL37" s="785">
        <v>79.3</v>
      </c>
      <c r="AM37" s="785">
        <v>20.700000000000003</v>
      </c>
      <c r="AN37" s="785">
        <v>80.3</v>
      </c>
      <c r="AO37" s="785">
        <v>19.700000000000003</v>
      </c>
      <c r="AP37" s="785">
        <v>80.3</v>
      </c>
      <c r="AQ37" s="785">
        <v>19.700000000000003</v>
      </c>
      <c r="AR37" s="785">
        <v>80.756144499931665</v>
      </c>
      <c r="AS37" s="785">
        <v>19.243855500068342</v>
      </c>
      <c r="AT37" s="785">
        <v>85.4</v>
      </c>
      <c r="AU37" s="785">
        <v>14.6</v>
      </c>
      <c r="AV37" s="785">
        <v>86</v>
      </c>
      <c r="AW37" s="785">
        <v>14</v>
      </c>
      <c r="AX37" s="785">
        <v>86.216786768938576</v>
      </c>
      <c r="AY37" s="785">
        <v>13.783213231061426</v>
      </c>
      <c r="AZ37" s="785">
        <v>86.85823050141002</v>
      </c>
      <c r="BA37" s="785">
        <v>13.141769498589984</v>
      </c>
      <c r="BB37" s="785">
        <v>87.236163087555425</v>
      </c>
      <c r="BC37" s="785">
        <v>12.763836912444575</v>
      </c>
      <c r="BD37" s="778">
        <v>87.818291163492134</v>
      </c>
      <c r="BE37" s="778">
        <v>12.181708836507866</v>
      </c>
      <c r="BF37" s="735"/>
      <c r="BG37" s="735"/>
      <c r="BH37" s="735"/>
      <c r="BI37" s="734">
        <v>2.9613336998354498</v>
      </c>
      <c r="BJ37" s="734">
        <v>1.7143241195437753</v>
      </c>
      <c r="BK37" s="734">
        <v>-0.5</v>
      </c>
      <c r="BL37" s="734">
        <v>-7.8820762241676334E-2</v>
      </c>
      <c r="BM37" s="734">
        <v>0.35304433228759535</v>
      </c>
      <c r="BN37" s="734">
        <v>0.2974624556941734</v>
      </c>
      <c r="BO37" s="734">
        <v>0.77168602574009526</v>
      </c>
      <c r="BP37" s="734"/>
      <c r="BQ37" s="734">
        <v>8.59076372272051</v>
      </c>
      <c r="BR37" s="734">
        <v>4.7309138181732209</v>
      </c>
      <c r="BS37" s="734">
        <v>7.2000000000000028</v>
      </c>
      <c r="BT37" s="734">
        <v>0.81678676893857016</v>
      </c>
      <c r="BU37" s="734">
        <v>0.64144373247144415</v>
      </c>
      <c r="BV37" s="734">
        <v>0.96006066208211394</v>
      </c>
      <c r="BW37" s="734">
        <v>2.4182911634921282</v>
      </c>
    </row>
    <row r="38" spans="2:75" ht="10.5" customHeight="1" thickBot="1">
      <c r="C38" s="781" t="s">
        <v>30</v>
      </c>
      <c r="D38" s="780">
        <v>55.396637972201212</v>
      </c>
      <c r="E38" s="780">
        <v>44.603362027798788</v>
      </c>
      <c r="F38" s="780">
        <v>65.117928751474977</v>
      </c>
      <c r="G38" s="780">
        <v>34.882071248525023</v>
      </c>
      <c r="H38" s="780">
        <v>72.8</v>
      </c>
      <c r="I38" s="780">
        <v>27.200000000000003</v>
      </c>
      <c r="J38" s="780">
        <v>71.7</v>
      </c>
      <c r="K38" s="780">
        <v>28.299999999999997</v>
      </c>
      <c r="L38" s="780">
        <v>71.8</v>
      </c>
      <c r="M38" s="780">
        <v>28.200000000000003</v>
      </c>
      <c r="N38" s="780">
        <v>71.900000000000006</v>
      </c>
      <c r="O38" s="780">
        <v>28.099999999999994</v>
      </c>
      <c r="P38" s="780">
        <v>71.917684456181391</v>
      </c>
      <c r="Q38" s="780">
        <v>28.082315543818606</v>
      </c>
      <c r="R38" s="780">
        <v>76.400000000000006</v>
      </c>
      <c r="S38" s="780">
        <v>23.6</v>
      </c>
      <c r="T38" s="780">
        <v>76.599999999999994</v>
      </c>
      <c r="U38" s="780">
        <v>23.4</v>
      </c>
      <c r="V38" s="780">
        <v>76.87682814129731</v>
      </c>
      <c r="W38" s="780">
        <v>23.123171858702683</v>
      </c>
      <c r="X38" s="780">
        <v>76.920583513649248</v>
      </c>
      <c r="Y38" s="780">
        <v>23.079416486350755</v>
      </c>
      <c r="Z38" s="780">
        <v>78.50265172633442</v>
      </c>
      <c r="AA38" s="780">
        <v>21.49734827366558</v>
      </c>
      <c r="AB38" s="780">
        <v>80.461896299569375</v>
      </c>
      <c r="AC38" s="780">
        <v>19.538103700430625</v>
      </c>
      <c r="AD38" s="733"/>
      <c r="AE38" s="784" t="s">
        <v>30</v>
      </c>
      <c r="AF38" s="784">
        <v>60.603367385825479</v>
      </c>
      <c r="AG38" s="784">
        <v>39.396632614174521</v>
      </c>
      <c r="AH38" s="784">
        <v>82.030787278295321</v>
      </c>
      <c r="AI38" s="784">
        <v>17.969212721704679</v>
      </c>
      <c r="AJ38" s="784">
        <v>84.4</v>
      </c>
      <c r="AK38" s="784">
        <v>15.599999999999994</v>
      </c>
      <c r="AL38" s="784">
        <v>83.2</v>
      </c>
      <c r="AM38" s="784">
        <v>16.799999999999997</v>
      </c>
      <c r="AN38" s="784">
        <v>82.3</v>
      </c>
      <c r="AO38" s="784">
        <v>17.700000000000003</v>
      </c>
      <c r="AP38" s="784">
        <v>82.1</v>
      </c>
      <c r="AQ38" s="784">
        <v>17.900000000000006</v>
      </c>
      <c r="AR38" s="784">
        <v>81.762630545604878</v>
      </c>
      <c r="AS38" s="784">
        <v>18.237369454395129</v>
      </c>
      <c r="AT38" s="784">
        <v>93.4</v>
      </c>
      <c r="AU38" s="784">
        <v>6.6</v>
      </c>
      <c r="AV38" s="784">
        <v>93.7</v>
      </c>
      <c r="AW38" s="784">
        <v>6.3</v>
      </c>
      <c r="AX38" s="784">
        <v>93.839448871494128</v>
      </c>
      <c r="AY38" s="784">
        <v>6.1605511285058716</v>
      </c>
      <c r="AZ38" s="784">
        <v>93.720503576864786</v>
      </c>
      <c r="BA38" s="784">
        <v>6.2794964231352131</v>
      </c>
      <c r="BB38" s="784">
        <v>94.015385391676404</v>
      </c>
      <c r="BC38" s="784">
        <v>5.9846146083235965</v>
      </c>
      <c r="BD38" s="760">
        <v>94.62968980957524</v>
      </c>
      <c r="BE38" s="760">
        <v>5.3703101904247603</v>
      </c>
      <c r="BF38" s="735"/>
      <c r="BG38" s="735"/>
      <c r="BH38" s="735"/>
      <c r="BI38" s="734">
        <v>9.7212907792737653</v>
      </c>
      <c r="BJ38" s="734">
        <v>7.6820712485250198</v>
      </c>
      <c r="BK38" s="734">
        <v>3.6000000000000085</v>
      </c>
      <c r="BL38" s="734">
        <v>0.27682814129731526</v>
      </c>
      <c r="BM38" s="734">
        <v>4.3755372351938604E-2</v>
      </c>
      <c r="BN38" s="734">
        <v>3.5413127859201268</v>
      </c>
      <c r="BO38" s="734">
        <v>4.0618962995693693</v>
      </c>
      <c r="BP38" s="734"/>
      <c r="BQ38" s="734">
        <v>21.427419892469842</v>
      </c>
      <c r="BR38" s="734">
        <v>2.3692127217046846</v>
      </c>
      <c r="BS38" s="734">
        <v>9</v>
      </c>
      <c r="BT38" s="734">
        <v>0.43944887149412182</v>
      </c>
      <c r="BU38" s="734">
        <v>-0.11894529462934145</v>
      </c>
      <c r="BV38" s="734">
        <v>0.90918623271045362</v>
      </c>
      <c r="BW38" s="734">
        <v>1.229689809575234</v>
      </c>
    </row>
    <row r="39" spans="2:75" ht="10.5" customHeight="1" thickBot="1">
      <c r="C39" s="782" t="s">
        <v>31</v>
      </c>
      <c r="D39" s="783">
        <v>80.945905678602898</v>
      </c>
      <c r="E39" s="783">
        <v>19.054094321397102</v>
      </c>
      <c r="F39" s="783">
        <v>88.88422068511565</v>
      </c>
      <c r="G39" s="783">
        <v>11.11577931488435</v>
      </c>
      <c r="H39" s="783">
        <v>94.1</v>
      </c>
      <c r="I39" s="783">
        <v>5.9000000000000057</v>
      </c>
      <c r="J39" s="783">
        <v>95.7</v>
      </c>
      <c r="K39" s="783">
        <v>4.2999999999999972</v>
      </c>
      <c r="L39" s="783">
        <v>96.5</v>
      </c>
      <c r="M39" s="783">
        <v>3.5</v>
      </c>
      <c r="N39" s="783">
        <v>96.4</v>
      </c>
      <c r="O39" s="783">
        <v>3.5999999999999943</v>
      </c>
      <c r="P39" s="783">
        <v>95.724264291014975</v>
      </c>
      <c r="Q39" s="783">
        <v>4.275735708985045</v>
      </c>
      <c r="R39" s="783">
        <v>94.7</v>
      </c>
      <c r="S39" s="783">
        <v>5.3</v>
      </c>
      <c r="T39" s="783">
        <v>95.1</v>
      </c>
      <c r="U39" s="783">
        <v>4.9000000000000004</v>
      </c>
      <c r="V39" s="783">
        <v>96.40183156624667</v>
      </c>
      <c r="W39" s="783">
        <v>3.5981684337533313</v>
      </c>
      <c r="X39" s="783">
        <v>96.660538943110168</v>
      </c>
      <c r="Y39" s="783">
        <v>3.3394610568898337</v>
      </c>
      <c r="Z39" s="783">
        <v>96.556099826270511</v>
      </c>
      <c r="AA39" s="783">
        <v>3.4439001737294888</v>
      </c>
      <c r="AB39" s="783">
        <v>96.550522028467029</v>
      </c>
      <c r="AC39" s="783">
        <v>3.4494779715329713</v>
      </c>
      <c r="AD39" s="733"/>
      <c r="AE39" s="785" t="s">
        <v>31</v>
      </c>
      <c r="AF39" s="785">
        <v>57.788037475052192</v>
      </c>
      <c r="AG39" s="785">
        <v>42.211962524947808</v>
      </c>
      <c r="AH39" s="785">
        <v>65.618175733095697</v>
      </c>
      <c r="AI39" s="785">
        <v>34.381824266904303</v>
      </c>
      <c r="AJ39" s="785">
        <v>73.400000000000006</v>
      </c>
      <c r="AK39" s="785">
        <v>26.599999999999994</v>
      </c>
      <c r="AL39" s="785">
        <v>76</v>
      </c>
      <c r="AM39" s="785">
        <v>24</v>
      </c>
      <c r="AN39" s="785">
        <v>76.7</v>
      </c>
      <c r="AO39" s="785">
        <v>23.299999999999997</v>
      </c>
      <c r="AP39" s="785">
        <v>77</v>
      </c>
      <c r="AQ39" s="785">
        <v>23</v>
      </c>
      <c r="AR39" s="785">
        <v>77.861670636111128</v>
      </c>
      <c r="AS39" s="785">
        <v>22.138329363888872</v>
      </c>
      <c r="AT39" s="785">
        <v>82.4</v>
      </c>
      <c r="AU39" s="785">
        <v>17.600000000000001</v>
      </c>
      <c r="AV39" s="785">
        <v>83.1</v>
      </c>
      <c r="AW39" s="785">
        <v>16.899999999999999</v>
      </c>
      <c r="AX39" s="785">
        <v>83.212600094991146</v>
      </c>
      <c r="AY39" s="785">
        <v>16.787399905008847</v>
      </c>
      <c r="AZ39" s="785">
        <v>83.552252807223766</v>
      </c>
      <c r="BA39" s="785">
        <v>16.447747192776244</v>
      </c>
      <c r="BB39" s="785">
        <v>83.667459216954171</v>
      </c>
      <c r="BC39" s="785">
        <v>16.332540783045829</v>
      </c>
      <c r="BD39" s="778">
        <v>84.548977471225967</v>
      </c>
      <c r="BE39" s="778">
        <v>15.451022528774033</v>
      </c>
      <c r="BF39" s="735"/>
      <c r="BG39" s="735"/>
      <c r="BH39" s="735"/>
      <c r="BI39" s="734">
        <v>7.9383150065127523</v>
      </c>
      <c r="BJ39" s="734">
        <v>5.2157793148843439</v>
      </c>
      <c r="BK39" s="734">
        <v>0.60000000000000853</v>
      </c>
      <c r="BL39" s="734">
        <v>1.3018315662466762</v>
      </c>
      <c r="BM39" s="734">
        <v>0.25870737686349798</v>
      </c>
      <c r="BN39" s="734">
        <v>-0.11001691464313978</v>
      </c>
      <c r="BO39" s="734">
        <v>1.8505220284670258</v>
      </c>
      <c r="BP39" s="734"/>
      <c r="BQ39" s="734">
        <v>7.8301382580435046</v>
      </c>
      <c r="BR39" s="734">
        <v>7.7818242669043087</v>
      </c>
      <c r="BS39" s="734">
        <v>9</v>
      </c>
      <c r="BT39" s="734">
        <v>0.81260009499114005</v>
      </c>
      <c r="BU39" s="734">
        <v>0.3396527122326205</v>
      </c>
      <c r="BV39" s="734">
        <v>0.99672466400220117</v>
      </c>
      <c r="BW39" s="734">
        <v>2.1489774712259617</v>
      </c>
    </row>
    <row r="40" spans="2:75" ht="10.5" customHeight="1" thickBot="1">
      <c r="B40" s="737"/>
      <c r="C40" s="781" t="s">
        <v>32</v>
      </c>
      <c r="D40" s="780">
        <v>90.92350433996431</v>
      </c>
      <c r="E40" s="780">
        <v>9.0764956600356896</v>
      </c>
      <c r="F40" s="780">
        <v>95.633772780587194</v>
      </c>
      <c r="G40" s="780">
        <v>4.3662272194128064</v>
      </c>
      <c r="H40" s="780">
        <v>96.3</v>
      </c>
      <c r="I40" s="780">
        <v>3.7</v>
      </c>
      <c r="J40" s="780">
        <v>96.3</v>
      </c>
      <c r="K40" s="780">
        <v>3.7</v>
      </c>
      <c r="L40" s="780">
        <v>96</v>
      </c>
      <c r="M40" s="780">
        <v>4</v>
      </c>
      <c r="N40" s="780">
        <v>95.3</v>
      </c>
      <c r="O40" s="780">
        <v>4.7</v>
      </c>
      <c r="P40" s="780">
        <v>94.530446851965337</v>
      </c>
      <c r="Q40" s="780">
        <v>5.4695531480346542</v>
      </c>
      <c r="R40" s="780">
        <v>97.3</v>
      </c>
      <c r="S40" s="780">
        <v>2.7</v>
      </c>
      <c r="T40" s="780">
        <v>97.9</v>
      </c>
      <c r="U40" s="780">
        <v>2.1</v>
      </c>
      <c r="V40" s="780">
        <v>98.216085598913551</v>
      </c>
      <c r="W40" s="780">
        <v>1.7839144010864474</v>
      </c>
      <c r="X40" s="780">
        <v>97.409142453701421</v>
      </c>
      <c r="Y40" s="780">
        <v>1.7839144010864474</v>
      </c>
      <c r="Z40" s="780">
        <v>96.425948520950428</v>
      </c>
      <c r="AA40" s="780">
        <v>3.5740514790495723</v>
      </c>
      <c r="AB40" s="780">
        <v>95.337609327773052</v>
      </c>
      <c r="AC40" s="780">
        <v>4.6623906722269481</v>
      </c>
      <c r="AD40" s="733"/>
      <c r="AE40" s="784" t="s">
        <v>32</v>
      </c>
      <c r="AF40" s="784">
        <v>57.084566702075222</v>
      </c>
      <c r="AG40" s="784">
        <v>42.915433297924778</v>
      </c>
      <c r="AH40" s="784">
        <v>75.508812766430495</v>
      </c>
      <c r="AI40" s="784">
        <v>24.491187233569505</v>
      </c>
      <c r="AJ40" s="784">
        <v>81.900000000000006</v>
      </c>
      <c r="AK40" s="784">
        <v>18.100000000000001</v>
      </c>
      <c r="AL40" s="784">
        <v>83.3</v>
      </c>
      <c r="AM40" s="784">
        <v>16.7</v>
      </c>
      <c r="AN40" s="784">
        <v>82.9</v>
      </c>
      <c r="AO40" s="784">
        <v>17.100000000000001</v>
      </c>
      <c r="AP40" s="784">
        <v>82.8</v>
      </c>
      <c r="AQ40" s="784">
        <v>17.2</v>
      </c>
      <c r="AR40" s="784">
        <v>82.37595708665161</v>
      </c>
      <c r="AS40" s="784">
        <v>17.624042913348397</v>
      </c>
      <c r="AT40" s="784">
        <v>90.6</v>
      </c>
      <c r="AU40" s="784">
        <v>9.4</v>
      </c>
      <c r="AV40" s="784">
        <v>91.2</v>
      </c>
      <c r="AW40" s="784">
        <v>8.8000000000000007</v>
      </c>
      <c r="AX40" s="784">
        <v>91.526750389327887</v>
      </c>
      <c r="AY40" s="784">
        <v>8.4732496106721076</v>
      </c>
      <c r="AZ40" s="784">
        <v>91.526750389327887</v>
      </c>
      <c r="BA40" s="784">
        <v>8.4732496106721076</v>
      </c>
      <c r="BB40" s="784">
        <v>90.555046923252661</v>
      </c>
      <c r="BC40" s="784">
        <v>9.4449530767473391</v>
      </c>
      <c r="BD40" s="760">
        <v>91.380291335830734</v>
      </c>
      <c r="BE40" s="760">
        <v>8.6197086641692664</v>
      </c>
      <c r="BF40" s="735"/>
      <c r="BG40" s="735"/>
      <c r="BH40" s="735"/>
      <c r="BI40" s="734">
        <v>4.7102684406228832</v>
      </c>
      <c r="BJ40" s="734">
        <v>0.66622721941280361</v>
      </c>
      <c r="BK40" s="734">
        <v>1</v>
      </c>
      <c r="BL40" s="734">
        <v>0.3160855989135456</v>
      </c>
      <c r="BM40" s="734">
        <v>-0.80694314521213073</v>
      </c>
      <c r="BN40" s="734">
        <v>-2.0715331259283687</v>
      </c>
      <c r="BO40" s="734">
        <v>-1.9623906722269453</v>
      </c>
      <c r="BP40" s="734"/>
      <c r="BQ40" s="734">
        <v>18.424246064355273</v>
      </c>
      <c r="BR40" s="734">
        <v>6.3911872335695108</v>
      </c>
      <c r="BS40" s="734">
        <v>8.6999999999999886</v>
      </c>
      <c r="BT40" s="734">
        <v>0.92675038932789278</v>
      </c>
      <c r="BU40" s="734">
        <v>0</v>
      </c>
      <c r="BV40" s="734">
        <v>-0.14645905349715349</v>
      </c>
      <c r="BW40" s="734">
        <v>0.78029133583073929</v>
      </c>
    </row>
    <row r="41" spans="2:75" ht="10.5" customHeight="1" thickBot="1">
      <c r="C41" s="782" t="s">
        <v>262</v>
      </c>
      <c r="D41" s="783">
        <v>57.484773312749148</v>
      </c>
      <c r="E41" s="783">
        <v>42.515226687250852</v>
      </c>
      <c r="F41" s="783">
        <v>62.197681227449507</v>
      </c>
      <c r="G41" s="783">
        <v>37.802318772550493</v>
      </c>
      <c r="H41" s="783">
        <v>69.900000000000006</v>
      </c>
      <c r="I41" s="783">
        <v>30.099999999999994</v>
      </c>
      <c r="J41" s="783">
        <v>70.8</v>
      </c>
      <c r="K41" s="783">
        <v>29.200000000000003</v>
      </c>
      <c r="L41" s="783">
        <v>71</v>
      </c>
      <c r="M41" s="783">
        <v>29</v>
      </c>
      <c r="N41" s="783">
        <v>71.3</v>
      </c>
      <c r="O41" s="783">
        <v>28.700000000000003</v>
      </c>
      <c r="P41" s="783">
        <v>71.426484427843477</v>
      </c>
      <c r="Q41" s="783">
        <v>28.573515572156534</v>
      </c>
      <c r="R41" s="783">
        <v>76.3</v>
      </c>
      <c r="S41" s="783">
        <v>23.7</v>
      </c>
      <c r="T41" s="783">
        <v>76.5</v>
      </c>
      <c r="U41" s="783">
        <v>23.5</v>
      </c>
      <c r="V41" s="783">
        <v>76.820719721315001</v>
      </c>
      <c r="W41" s="783">
        <v>23.179280278684995</v>
      </c>
      <c r="X41" s="783">
        <v>77.262983895349294</v>
      </c>
      <c r="Y41" s="783">
        <v>22.73701610465071</v>
      </c>
      <c r="Z41" s="783">
        <v>77.94389833897209</v>
      </c>
      <c r="AA41" s="783">
        <v>22.05610166102791</v>
      </c>
      <c r="AB41" s="783">
        <v>78.829850146382924</v>
      </c>
      <c r="AC41" s="783">
        <v>21.170149853617076</v>
      </c>
      <c r="AD41" s="733"/>
      <c r="AE41" s="785" t="s">
        <v>262</v>
      </c>
      <c r="AF41" s="785">
        <v>50.071425256093463</v>
      </c>
      <c r="AG41" s="785">
        <v>49.928574743906537</v>
      </c>
      <c r="AH41" s="785">
        <v>60.441148175439452</v>
      </c>
      <c r="AI41" s="785">
        <v>39.558851824560548</v>
      </c>
      <c r="AJ41" s="785">
        <v>64.599999999999994</v>
      </c>
      <c r="AK41" s="785">
        <v>35.400000000000006</v>
      </c>
      <c r="AL41" s="785">
        <v>64.7</v>
      </c>
      <c r="AM41" s="785">
        <v>35.299999999999997</v>
      </c>
      <c r="AN41" s="785">
        <v>64.7</v>
      </c>
      <c r="AO41" s="785">
        <v>35.299999999999997</v>
      </c>
      <c r="AP41" s="785">
        <v>65</v>
      </c>
      <c r="AQ41" s="785">
        <v>35</v>
      </c>
      <c r="AR41" s="785">
        <v>65.102351784725613</v>
      </c>
      <c r="AS41" s="785">
        <v>34.897648215274387</v>
      </c>
      <c r="AT41" s="785">
        <v>77.7</v>
      </c>
      <c r="AU41" s="785">
        <v>22.3</v>
      </c>
      <c r="AV41" s="785">
        <v>77.900000000000006</v>
      </c>
      <c r="AW41" s="785">
        <v>22.1</v>
      </c>
      <c r="AX41" s="785">
        <v>78.144563045339979</v>
      </c>
      <c r="AY41" s="785">
        <v>21.855436954660025</v>
      </c>
      <c r="AZ41" s="785">
        <v>78.404512209622439</v>
      </c>
      <c r="BA41" s="785">
        <v>21.595487790377558</v>
      </c>
      <c r="BB41" s="785">
        <v>79.167795618541945</v>
      </c>
      <c r="BC41" s="785">
        <v>20.832204381458055</v>
      </c>
      <c r="BD41" s="778">
        <v>80.334137988091044</v>
      </c>
      <c r="BE41" s="778">
        <v>19.665862011908956</v>
      </c>
      <c r="BF41" s="735"/>
      <c r="BG41" s="735"/>
      <c r="BH41" s="735"/>
      <c r="BI41" s="734">
        <v>4.7129079147003594</v>
      </c>
      <c r="BJ41" s="734">
        <v>7.7023187725504982</v>
      </c>
      <c r="BK41" s="734">
        <v>6.3999999999999915</v>
      </c>
      <c r="BL41" s="734">
        <v>0.32071972131500104</v>
      </c>
      <c r="BM41" s="734">
        <v>0.44226417403429252</v>
      </c>
      <c r="BN41" s="734">
        <v>1.5668662510336304</v>
      </c>
      <c r="BO41" s="734">
        <v>2.5298501463829268</v>
      </c>
      <c r="BP41" s="734"/>
      <c r="BQ41" s="734">
        <v>10.369722919345989</v>
      </c>
      <c r="BR41" s="734">
        <v>4.1588518245605428</v>
      </c>
      <c r="BS41" s="734">
        <v>13.100000000000009</v>
      </c>
      <c r="BT41" s="734">
        <v>0.44456304533997582</v>
      </c>
      <c r="BU41" s="734">
        <v>0.25994916428246029</v>
      </c>
      <c r="BV41" s="734">
        <v>1.9296257784686048</v>
      </c>
      <c r="BW41" s="734">
        <v>2.6341379880910409</v>
      </c>
    </row>
    <row r="42" spans="2:75" ht="10.5" customHeight="1" thickBot="1">
      <c r="C42" s="781" t="s">
        <v>34</v>
      </c>
      <c r="D42" s="780">
        <v>70.179762753039427</v>
      </c>
      <c r="E42" s="780">
        <v>29.820237246960573</v>
      </c>
      <c r="F42" s="780">
        <v>85.538644253137392</v>
      </c>
      <c r="G42" s="780">
        <v>14.461355746862608</v>
      </c>
      <c r="H42" s="780">
        <v>93.7</v>
      </c>
      <c r="I42" s="780">
        <v>6.2999999999999972</v>
      </c>
      <c r="J42" s="780">
        <v>95.4</v>
      </c>
      <c r="K42" s="780">
        <v>4.5999999999999943</v>
      </c>
      <c r="L42" s="780">
        <v>95.4</v>
      </c>
      <c r="M42" s="780">
        <v>4.5999999999999943</v>
      </c>
      <c r="N42" s="780">
        <v>95.3</v>
      </c>
      <c r="O42" s="780">
        <v>4.7000000000000028</v>
      </c>
      <c r="P42" s="780">
        <v>95.882716220140708</v>
      </c>
      <c r="Q42" s="780">
        <v>4.1172837798593029</v>
      </c>
      <c r="R42" s="780">
        <v>96.1</v>
      </c>
      <c r="S42" s="780">
        <v>3.9</v>
      </c>
      <c r="T42" s="780">
        <v>96.3</v>
      </c>
      <c r="U42" s="780">
        <v>3.7</v>
      </c>
      <c r="V42" s="780">
        <v>95.984990993109804</v>
      </c>
      <c r="W42" s="780">
        <v>4.0150090068901871</v>
      </c>
      <c r="X42" s="780">
        <v>96.016632033456744</v>
      </c>
      <c r="Y42" s="780">
        <v>3.9833679665432618</v>
      </c>
      <c r="Z42" s="780">
        <v>96.753370577806407</v>
      </c>
      <c r="AA42" s="780">
        <v>3.2466294221935925</v>
      </c>
      <c r="AB42" s="780">
        <v>96.540108748355792</v>
      </c>
      <c r="AC42" s="780">
        <v>3.4598912516442084</v>
      </c>
      <c r="AD42" s="733"/>
      <c r="AE42" s="784" t="s">
        <v>34</v>
      </c>
      <c r="AF42" s="784">
        <v>42.058060157204721</v>
      </c>
      <c r="AG42" s="784">
        <v>57.941939842795279</v>
      </c>
      <c r="AH42" s="784">
        <v>48.784307606604393</v>
      </c>
      <c r="AI42" s="784">
        <v>51.215692393395607</v>
      </c>
      <c r="AJ42" s="784">
        <v>54.6</v>
      </c>
      <c r="AK42" s="784">
        <v>45.4</v>
      </c>
      <c r="AL42" s="784">
        <v>53.4</v>
      </c>
      <c r="AM42" s="784">
        <v>46.6</v>
      </c>
      <c r="AN42" s="784">
        <v>54.3</v>
      </c>
      <c r="AO42" s="784">
        <v>45.7</v>
      </c>
      <c r="AP42" s="784">
        <v>54.4</v>
      </c>
      <c r="AQ42" s="784">
        <v>45.6</v>
      </c>
      <c r="AR42" s="784">
        <v>54.463091308941614</v>
      </c>
      <c r="AS42" s="784">
        <v>45.536908691058393</v>
      </c>
      <c r="AT42" s="784">
        <v>68.2</v>
      </c>
      <c r="AU42" s="784">
        <v>31.8</v>
      </c>
      <c r="AV42" s="784">
        <v>68.3</v>
      </c>
      <c r="AW42" s="784">
        <v>31.7</v>
      </c>
      <c r="AX42" s="784">
        <v>68.197424230404778</v>
      </c>
      <c r="AY42" s="784">
        <v>31.802575769595215</v>
      </c>
      <c r="AZ42" s="784">
        <v>67.705273308819258</v>
      </c>
      <c r="BA42" s="784">
        <v>32.294726691180742</v>
      </c>
      <c r="BB42" s="784">
        <v>67.548790385728921</v>
      </c>
      <c r="BC42" s="784">
        <v>32.451209614271079</v>
      </c>
      <c r="BD42" s="760">
        <v>67.6033673011692</v>
      </c>
      <c r="BE42" s="760">
        <v>32.3966326988308</v>
      </c>
      <c r="BF42" s="735"/>
      <c r="BG42" s="735"/>
      <c r="BH42" s="735"/>
      <c r="BI42" s="734">
        <v>15.358881500097965</v>
      </c>
      <c r="BJ42" s="734">
        <v>8.1613557468626112</v>
      </c>
      <c r="BK42" s="734">
        <v>2.3999999999999915</v>
      </c>
      <c r="BL42" s="734">
        <v>-0.31500900689019318</v>
      </c>
      <c r="BM42" s="734">
        <v>3.1641040346940486E-2</v>
      </c>
      <c r="BN42" s="734">
        <v>0.52347671489904712</v>
      </c>
      <c r="BO42" s="734">
        <v>0.44010874835579727</v>
      </c>
      <c r="BP42" s="734"/>
      <c r="BQ42" s="734">
        <v>6.726247449399672</v>
      </c>
      <c r="BR42" s="734">
        <v>5.815692393395608</v>
      </c>
      <c r="BS42" s="734">
        <v>13.600000000000001</v>
      </c>
      <c r="BT42" s="734">
        <v>-2.575769595225097E-3</v>
      </c>
      <c r="BU42" s="734">
        <v>-0.49215092158551954</v>
      </c>
      <c r="BV42" s="734">
        <v>-0.10190600765005797</v>
      </c>
      <c r="BW42" s="734">
        <v>-0.59663269883080261</v>
      </c>
    </row>
    <row r="43" spans="2:75" ht="10.5" customHeight="1" thickBot="1">
      <c r="C43" s="782" t="s">
        <v>35</v>
      </c>
      <c r="D43" s="783">
        <v>74.776630842643328</v>
      </c>
      <c r="E43" s="783">
        <v>25.223369157356672</v>
      </c>
      <c r="F43" s="783">
        <v>82.705943628738595</v>
      </c>
      <c r="G43" s="783">
        <v>17.294056371261405</v>
      </c>
      <c r="H43" s="783">
        <v>88</v>
      </c>
      <c r="I43" s="783">
        <v>12</v>
      </c>
      <c r="J43" s="783">
        <v>91.7</v>
      </c>
      <c r="K43" s="783">
        <v>8.2999999999999972</v>
      </c>
      <c r="L43" s="783">
        <v>92</v>
      </c>
      <c r="M43" s="783">
        <v>8</v>
      </c>
      <c r="N43" s="783">
        <v>93</v>
      </c>
      <c r="O43" s="783">
        <v>7</v>
      </c>
      <c r="P43" s="783">
        <v>93.787877477186697</v>
      </c>
      <c r="Q43" s="783">
        <v>6.2121225228132957</v>
      </c>
      <c r="R43" s="783">
        <v>92.8</v>
      </c>
      <c r="S43" s="783">
        <v>7.2</v>
      </c>
      <c r="T43" s="783">
        <v>93.3</v>
      </c>
      <c r="U43" s="783">
        <v>6.7</v>
      </c>
      <c r="V43" s="783">
        <v>94.070908243975495</v>
      </c>
      <c r="W43" s="783">
        <v>5.9290917560245013</v>
      </c>
      <c r="X43" s="783">
        <v>94.871282872469109</v>
      </c>
      <c r="Y43" s="783">
        <v>5.1287171275308863</v>
      </c>
      <c r="Z43" s="783">
        <v>95.090647850995509</v>
      </c>
      <c r="AA43" s="783">
        <v>4.9093521490044907</v>
      </c>
      <c r="AB43" s="783">
        <v>96.18316411371579</v>
      </c>
      <c r="AC43" s="783">
        <v>3.8168358862842098</v>
      </c>
      <c r="AD43" s="733"/>
      <c r="AE43" s="785" t="s">
        <v>35</v>
      </c>
      <c r="AF43" s="785">
        <v>44.970477040057773</v>
      </c>
      <c r="AG43" s="785">
        <v>55.029522959942227</v>
      </c>
      <c r="AH43" s="785">
        <v>57.978598853842392</v>
      </c>
      <c r="AI43" s="785">
        <v>42.021401146157608</v>
      </c>
      <c r="AJ43" s="785">
        <v>69.3</v>
      </c>
      <c r="AK43" s="785">
        <v>30.700000000000003</v>
      </c>
      <c r="AL43" s="785">
        <v>71.3</v>
      </c>
      <c r="AM43" s="785">
        <v>28.700000000000003</v>
      </c>
      <c r="AN43" s="785">
        <v>71.099999999999994</v>
      </c>
      <c r="AO43" s="785">
        <v>28.900000000000006</v>
      </c>
      <c r="AP43" s="785">
        <v>71.599999999999994</v>
      </c>
      <c r="AQ43" s="785">
        <v>28.400000000000006</v>
      </c>
      <c r="AR43" s="785">
        <v>72.162574627315507</v>
      </c>
      <c r="AS43" s="785">
        <v>27.837425372684503</v>
      </c>
      <c r="AT43" s="785">
        <v>84.2</v>
      </c>
      <c r="AU43" s="785">
        <v>15.8</v>
      </c>
      <c r="AV43" s="785">
        <v>84.5</v>
      </c>
      <c r="AW43" s="785">
        <v>15.5</v>
      </c>
      <c r="AX43" s="785">
        <v>85.489563012946974</v>
      </c>
      <c r="AY43" s="785">
        <v>14.51043698705303</v>
      </c>
      <c r="AZ43" s="785">
        <v>87.143499784283676</v>
      </c>
      <c r="BA43" s="785">
        <v>12.856500215716327</v>
      </c>
      <c r="BB43" s="785">
        <v>87.673126631613954</v>
      </c>
      <c r="BC43" s="785">
        <v>12.326873368386046</v>
      </c>
      <c r="BD43" s="778">
        <v>89.133649231814957</v>
      </c>
      <c r="BE43" s="778">
        <v>10.866350768185043</v>
      </c>
      <c r="BF43" s="735"/>
      <c r="BG43" s="735"/>
      <c r="BH43" s="735"/>
      <c r="BI43" s="734">
        <v>7.9293127860952666</v>
      </c>
      <c r="BJ43" s="734">
        <v>5.294056371261405</v>
      </c>
      <c r="BK43" s="734">
        <v>4.7999999999999972</v>
      </c>
      <c r="BL43" s="734">
        <v>0.77090824397549795</v>
      </c>
      <c r="BM43" s="734">
        <v>0.80037462849361418</v>
      </c>
      <c r="BN43" s="734">
        <v>1.3118812412466809</v>
      </c>
      <c r="BO43" s="734">
        <v>3.3831641137157931</v>
      </c>
      <c r="BP43" s="734"/>
      <c r="BQ43" s="734">
        <v>13.008121813784619</v>
      </c>
      <c r="BR43" s="734">
        <v>11.321401146157605</v>
      </c>
      <c r="BS43" s="734">
        <v>14.900000000000006</v>
      </c>
      <c r="BT43" s="734">
        <v>1.2895630129469708</v>
      </c>
      <c r="BU43" s="734">
        <v>1.6539367713367028</v>
      </c>
      <c r="BV43" s="734">
        <v>1.9901494475312802</v>
      </c>
      <c r="BW43" s="734">
        <v>4.9336492318149539</v>
      </c>
    </row>
    <row r="44" spans="2:75" ht="4.5" customHeight="1" thickBot="1">
      <c r="C44" s="781"/>
      <c r="D44" s="780"/>
      <c r="E44" s="780"/>
      <c r="F44" s="780"/>
      <c r="G44" s="780"/>
      <c r="H44" s="780"/>
      <c r="I44" s="780">
        <v>100</v>
      </c>
      <c r="J44" s="780"/>
      <c r="K44" s="780">
        <v>100</v>
      </c>
      <c r="L44" s="780"/>
      <c r="M44" s="780">
        <v>100</v>
      </c>
      <c r="N44" s="780"/>
      <c r="O44" s="780">
        <v>100</v>
      </c>
      <c r="P44" s="780"/>
      <c r="Q44" s="780"/>
      <c r="R44" s="780"/>
      <c r="S44" s="780"/>
      <c r="T44" s="780"/>
      <c r="U44" s="780"/>
      <c r="V44" s="780"/>
      <c r="W44" s="780"/>
      <c r="X44" s="780"/>
      <c r="Y44" s="780"/>
      <c r="Z44" s="780"/>
      <c r="AA44" s="780"/>
      <c r="AB44" s="780"/>
      <c r="AC44" s="780"/>
      <c r="AD44" s="738"/>
      <c r="AE44" s="781"/>
      <c r="AF44" s="738"/>
      <c r="AG44" s="738"/>
      <c r="AH44" s="738"/>
      <c r="AI44" s="738"/>
      <c r="AJ44" s="738"/>
      <c r="AK44" s="738">
        <v>100</v>
      </c>
      <c r="AL44" s="738"/>
      <c r="AM44" s="738">
        <v>100</v>
      </c>
      <c r="AN44" s="738"/>
      <c r="AO44" s="738">
        <v>100</v>
      </c>
      <c r="AP44" s="738"/>
      <c r="AQ44" s="738">
        <v>100</v>
      </c>
      <c r="AR44" s="738"/>
      <c r="AS44" s="738"/>
      <c r="AT44" s="738"/>
      <c r="AU44" s="738"/>
      <c r="AV44" s="738"/>
      <c r="AW44" s="738"/>
      <c r="AX44" s="738"/>
      <c r="AY44" s="738"/>
      <c r="AZ44" s="738"/>
      <c r="BA44" s="738"/>
      <c r="BB44" s="738"/>
      <c r="BC44" s="738"/>
      <c r="BD44" s="739"/>
      <c r="BE44" s="739"/>
      <c r="BF44" s="735"/>
      <c r="BG44" s="735"/>
      <c r="BH44" s="735"/>
      <c r="BI44" s="734">
        <v>0</v>
      </c>
      <c r="BJ44" s="734">
        <v>0</v>
      </c>
      <c r="BK44" s="734">
        <v>0</v>
      </c>
      <c r="BL44" s="734">
        <v>0</v>
      </c>
      <c r="BM44" s="734">
        <v>0</v>
      </c>
      <c r="BN44" s="734">
        <v>0</v>
      </c>
      <c r="BO44" s="734">
        <v>0</v>
      </c>
      <c r="BQ44" s="734">
        <v>0</v>
      </c>
      <c r="BR44" s="734">
        <v>0</v>
      </c>
      <c r="BS44" s="734">
        <v>0</v>
      </c>
      <c r="BT44" s="734">
        <v>0</v>
      </c>
      <c r="BU44" s="734">
        <v>0</v>
      </c>
      <c r="BV44" s="734">
        <v>0</v>
      </c>
      <c r="BW44" s="734">
        <v>0</v>
      </c>
    </row>
    <row r="45" spans="2:75" ht="15" customHeight="1" thickBot="1">
      <c r="C45" s="845" t="s">
        <v>101</v>
      </c>
      <c r="D45" s="843">
        <v>78.394310831224431</v>
      </c>
      <c r="E45" s="843">
        <v>21.605689168775569</v>
      </c>
      <c r="F45" s="843">
        <v>84.580698939514718</v>
      </c>
      <c r="G45" s="843">
        <v>15.419301060485282</v>
      </c>
      <c r="H45" s="843">
        <v>87.8</v>
      </c>
      <c r="I45" s="843">
        <v>12.200000000000003</v>
      </c>
      <c r="J45" s="843">
        <v>89</v>
      </c>
      <c r="K45" s="843">
        <v>11</v>
      </c>
      <c r="L45" s="843">
        <v>89.2</v>
      </c>
      <c r="M45" s="843">
        <v>10.799999999999997</v>
      </c>
      <c r="N45" s="843">
        <v>89.4</v>
      </c>
      <c r="O45" s="843">
        <v>10.599999999999994</v>
      </c>
      <c r="P45" s="843">
        <v>89.459982906917929</v>
      </c>
      <c r="Q45" s="843">
        <v>10.540017093082058</v>
      </c>
      <c r="R45" s="843">
        <v>89.2</v>
      </c>
      <c r="S45" s="843">
        <v>10.8</v>
      </c>
      <c r="T45" s="843">
        <v>89.5</v>
      </c>
      <c r="U45" s="843">
        <v>10.5</v>
      </c>
      <c r="V45" s="843">
        <v>89.592967794737731</v>
      </c>
      <c r="W45" s="843">
        <v>10.407032205262302</v>
      </c>
      <c r="X45" s="843">
        <v>89.880613995208677</v>
      </c>
      <c r="Y45" s="843">
        <v>10.119386004791341</v>
      </c>
      <c r="Z45" s="843">
        <v>90.250768789943024</v>
      </c>
      <c r="AA45" s="843">
        <v>9.7492312100569762</v>
      </c>
      <c r="AB45" s="843">
        <v>90.650013813043159</v>
      </c>
      <c r="AC45" s="843">
        <v>9.3499861869568406</v>
      </c>
      <c r="AD45" s="740"/>
      <c r="AE45" s="990" t="s">
        <v>101</v>
      </c>
      <c r="AF45" s="844">
        <v>61.484955632595565</v>
      </c>
      <c r="AG45" s="844">
        <v>38.515044367404435</v>
      </c>
      <c r="AH45" s="844">
        <v>72.401762345151994</v>
      </c>
      <c r="AI45" s="844">
        <v>27.598237654848006</v>
      </c>
      <c r="AJ45" s="844">
        <v>76.2</v>
      </c>
      <c r="AK45" s="844">
        <v>23.799999999999997</v>
      </c>
      <c r="AL45" s="844">
        <v>76.900000000000006</v>
      </c>
      <c r="AM45" s="844">
        <v>23.099999999999994</v>
      </c>
      <c r="AN45" s="844">
        <v>77</v>
      </c>
      <c r="AO45" s="844">
        <v>23</v>
      </c>
      <c r="AP45" s="844">
        <v>77.2</v>
      </c>
      <c r="AQ45" s="844">
        <v>22.799999999999997</v>
      </c>
      <c r="AR45" s="844">
        <v>77.480971455438947</v>
      </c>
      <c r="AS45" s="844">
        <v>22.519028544561024</v>
      </c>
      <c r="AT45" s="844">
        <v>85.6</v>
      </c>
      <c r="AU45" s="844">
        <v>14.4</v>
      </c>
      <c r="AV45" s="844">
        <v>85.9</v>
      </c>
      <c r="AW45" s="844">
        <v>14.1</v>
      </c>
      <c r="AX45" s="844">
        <v>86.037335947232947</v>
      </c>
      <c r="AY45" s="844">
        <v>13.962664052767092</v>
      </c>
      <c r="AZ45" s="844">
        <v>86.125573918541718</v>
      </c>
      <c r="BA45" s="844">
        <v>13.87442608145828</v>
      </c>
      <c r="BB45" s="844">
        <v>86.448007133677777</v>
      </c>
      <c r="BC45" s="844">
        <v>13.551992866322223</v>
      </c>
      <c r="BD45" s="844">
        <v>86.796102156650576</v>
      </c>
      <c r="BE45" s="844">
        <v>13.203897843349424</v>
      </c>
      <c r="BF45" s="735"/>
      <c r="BG45" s="735"/>
      <c r="BH45" s="735"/>
      <c r="BI45" s="734">
        <v>6.1863881082902878</v>
      </c>
      <c r="BJ45" s="734">
        <v>3.2193010604852788</v>
      </c>
      <c r="BK45" s="734">
        <v>1.4000000000000057</v>
      </c>
      <c r="BL45" s="734">
        <v>9.2967794737731424E-2</v>
      </c>
      <c r="BM45" s="734">
        <v>0.28764620047094525</v>
      </c>
      <c r="BN45" s="734">
        <v>0.76939981783448275</v>
      </c>
      <c r="BO45" s="734">
        <v>1.4500138130431566</v>
      </c>
      <c r="BQ45" s="734">
        <v>10.916806712556429</v>
      </c>
      <c r="BR45" s="734">
        <v>3.798237654848009</v>
      </c>
      <c r="BS45" s="734">
        <v>9.3999999999999915</v>
      </c>
      <c r="BT45" s="734">
        <v>0.43733594723295255</v>
      </c>
      <c r="BU45" s="734">
        <v>8.8237971308771534E-2</v>
      </c>
      <c r="BV45" s="734">
        <v>0.67052823810885798</v>
      </c>
      <c r="BW45" s="734">
        <v>1.1961021566505821</v>
      </c>
    </row>
    <row r="46" spans="2:75">
      <c r="B46" s="742"/>
      <c r="C46" s="762" t="s">
        <v>210</v>
      </c>
      <c r="D46" s="570"/>
      <c r="E46" s="570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0"/>
      <c r="T46" s="570"/>
      <c r="U46" s="570"/>
      <c r="V46" s="570"/>
      <c r="W46" s="570"/>
      <c r="X46" s="570"/>
      <c r="Y46" s="570"/>
      <c r="Z46" s="570"/>
      <c r="AA46" s="570"/>
      <c r="AB46" s="570"/>
      <c r="AC46" s="570"/>
      <c r="AD46" s="570"/>
      <c r="AE46" s="762" t="s">
        <v>210</v>
      </c>
      <c r="AF46" s="570"/>
      <c r="AG46" s="570"/>
      <c r="AH46" s="570"/>
      <c r="AI46" s="570"/>
      <c r="AJ46" s="570"/>
      <c r="AK46" s="570"/>
      <c r="AL46" s="570"/>
      <c r="AM46" s="570"/>
      <c r="AN46" s="570"/>
      <c r="AO46" s="570"/>
      <c r="AP46" s="570"/>
      <c r="AQ46" s="570"/>
      <c r="AR46" s="570"/>
      <c r="AS46" s="570"/>
      <c r="AT46" s="570"/>
      <c r="AU46" s="570"/>
      <c r="AV46" s="570"/>
      <c r="AW46" s="570"/>
      <c r="AX46" s="570"/>
      <c r="AY46" s="570"/>
      <c r="AZ46" s="570"/>
      <c r="BA46" s="570"/>
      <c r="BB46" s="570"/>
      <c r="BC46" s="570"/>
      <c r="BD46" s="570"/>
      <c r="BE46" s="570"/>
      <c r="BF46" s="741"/>
      <c r="BG46" s="741"/>
      <c r="BH46" s="741"/>
    </row>
    <row r="47" spans="2:75">
      <c r="C47" s="763" t="s">
        <v>544</v>
      </c>
      <c r="D47" s="570"/>
      <c r="E47" s="570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763" t="s">
        <v>544</v>
      </c>
      <c r="AF47" s="570"/>
      <c r="AG47" s="570"/>
      <c r="AH47" s="570"/>
      <c r="AI47" s="570"/>
      <c r="AJ47" s="570"/>
      <c r="AK47" s="570"/>
      <c r="AL47" s="570"/>
      <c r="AM47" s="570"/>
      <c r="AN47" s="570"/>
      <c r="AO47" s="570"/>
      <c r="AP47" s="570"/>
      <c r="AQ47" s="570"/>
      <c r="AR47" s="570"/>
      <c r="AS47" s="570"/>
      <c r="AT47" s="570"/>
      <c r="AU47" s="570"/>
      <c r="AV47" s="570"/>
      <c r="AW47" s="570"/>
      <c r="AX47" s="570"/>
      <c r="AY47" s="570"/>
      <c r="AZ47" s="570"/>
      <c r="BA47" s="570"/>
      <c r="BB47" s="570"/>
      <c r="BC47" s="570"/>
      <c r="BD47" s="570"/>
      <c r="BE47" s="570"/>
      <c r="BF47" s="743"/>
      <c r="BG47" s="743"/>
      <c r="BH47" s="743"/>
    </row>
    <row r="48" spans="2:75" ht="7.5" customHeight="1">
      <c r="C48" s="743"/>
      <c r="D48" s="743"/>
      <c r="E48" s="743"/>
      <c r="F48" s="743"/>
      <c r="G48" s="743"/>
      <c r="H48" s="743"/>
      <c r="I48" s="743"/>
      <c r="J48" s="743"/>
      <c r="K48" s="743"/>
      <c r="L48" s="743"/>
      <c r="M48" s="743"/>
      <c r="N48" s="743"/>
      <c r="O48" s="743"/>
      <c r="P48" s="743"/>
      <c r="Q48" s="743"/>
      <c r="R48" s="743"/>
      <c r="S48" s="743"/>
      <c r="T48" s="743"/>
      <c r="U48" s="743"/>
      <c r="V48" s="743"/>
      <c r="W48" s="743"/>
      <c r="X48" s="743"/>
      <c r="Y48" s="743"/>
      <c r="Z48" s="767"/>
      <c r="AA48" s="767"/>
      <c r="AB48" s="743"/>
      <c r="AC48" s="743"/>
      <c r="AD48" s="743"/>
      <c r="AE48" s="987"/>
      <c r="AF48" s="743"/>
      <c r="AG48" s="743"/>
      <c r="AH48" s="743"/>
      <c r="AI48" s="743"/>
      <c r="AJ48" s="743"/>
      <c r="AK48" s="743"/>
      <c r="AL48" s="743"/>
      <c r="AM48" s="743"/>
      <c r="AN48" s="743"/>
      <c r="AO48" s="743"/>
      <c r="AP48" s="743"/>
      <c r="AQ48" s="743"/>
      <c r="AR48" s="743"/>
      <c r="AS48" s="743"/>
      <c r="AT48" s="743"/>
      <c r="AU48" s="743"/>
      <c r="AV48" s="743"/>
      <c r="AW48" s="743"/>
      <c r="AX48" s="743"/>
      <c r="AY48" s="743"/>
      <c r="AZ48" s="743"/>
      <c r="BA48" s="743"/>
      <c r="BB48" s="767"/>
      <c r="BC48" s="767"/>
      <c r="BD48" s="743"/>
      <c r="BE48" s="743"/>
      <c r="BF48" s="743"/>
      <c r="BG48" s="743"/>
      <c r="BH48" s="743"/>
    </row>
    <row r="49" spans="3:60" ht="4.5" customHeight="1">
      <c r="C49" s="743"/>
      <c r="D49" s="743"/>
      <c r="E49" s="743"/>
      <c r="F49" s="743"/>
      <c r="G49" s="743"/>
      <c r="H49" s="743"/>
      <c r="I49" s="743"/>
      <c r="J49" s="743"/>
      <c r="K49" s="743"/>
      <c r="L49" s="743"/>
      <c r="M49" s="743"/>
      <c r="N49" s="743"/>
      <c r="O49" s="743"/>
      <c r="P49" s="743"/>
      <c r="Q49" s="743"/>
      <c r="R49" s="743"/>
      <c r="S49" s="743"/>
      <c r="T49" s="743"/>
      <c r="U49" s="743"/>
      <c r="V49" s="743"/>
      <c r="W49" s="743"/>
      <c r="X49" s="743"/>
      <c r="Y49" s="743"/>
      <c r="Z49" s="767"/>
      <c r="AA49" s="767"/>
      <c r="AB49" s="743"/>
      <c r="AC49" s="743"/>
      <c r="AD49" s="743"/>
      <c r="AE49" s="987"/>
      <c r="AF49" s="743"/>
      <c r="AG49" s="743"/>
      <c r="AH49" s="743"/>
      <c r="AI49" s="743"/>
      <c r="AJ49" s="743"/>
      <c r="AK49" s="743"/>
      <c r="AL49" s="743"/>
      <c r="AM49" s="743"/>
      <c r="AN49" s="743"/>
      <c r="AO49" s="743"/>
      <c r="AP49" s="743"/>
      <c r="AQ49" s="743"/>
      <c r="AR49" s="743"/>
      <c r="AS49" s="743"/>
      <c r="AT49" s="743"/>
      <c r="AU49" s="743"/>
      <c r="AV49" s="743"/>
      <c r="AW49" s="743"/>
      <c r="AX49" s="743"/>
      <c r="AY49" s="743"/>
      <c r="AZ49" s="743"/>
      <c r="BA49" s="743"/>
      <c r="BB49" s="767"/>
      <c r="BC49" s="767"/>
      <c r="BD49" s="743"/>
      <c r="BE49" s="743"/>
      <c r="BF49" s="743"/>
      <c r="BG49" s="743"/>
      <c r="BH49" s="743"/>
    </row>
    <row r="50" spans="3:60" ht="8.25" customHeight="1">
      <c r="C50" s="743"/>
      <c r="D50" s="743"/>
      <c r="E50" s="743"/>
      <c r="F50" s="743"/>
      <c r="G50" s="743"/>
      <c r="H50" s="743"/>
      <c r="I50" s="743"/>
      <c r="J50" s="743"/>
      <c r="K50" s="743"/>
      <c r="L50" s="743"/>
      <c r="M50" s="743"/>
      <c r="N50" s="743"/>
      <c r="O50" s="743"/>
      <c r="P50" s="743"/>
      <c r="Q50" s="743"/>
      <c r="R50" s="743"/>
      <c r="S50" s="743"/>
      <c r="T50" s="743"/>
      <c r="U50" s="743"/>
      <c r="V50" s="743"/>
      <c r="W50" s="743"/>
      <c r="X50" s="743"/>
      <c r="Y50" s="743"/>
      <c r="Z50" s="767"/>
      <c r="AA50" s="767"/>
      <c r="AB50" s="743"/>
      <c r="AC50" s="743"/>
      <c r="AD50" s="743"/>
      <c r="AE50" s="987"/>
      <c r="AF50" s="743"/>
      <c r="AG50" s="743"/>
      <c r="AH50" s="743"/>
      <c r="AI50" s="743"/>
      <c r="AJ50" s="743"/>
      <c r="AK50" s="743"/>
      <c r="AL50" s="743"/>
      <c r="AM50" s="743"/>
      <c r="AN50" s="743"/>
      <c r="AO50" s="743"/>
      <c r="AP50" s="743"/>
      <c r="AQ50" s="743"/>
      <c r="AR50" s="743"/>
      <c r="AS50" s="743"/>
      <c r="AT50" s="743"/>
      <c r="AU50" s="743"/>
      <c r="AV50" s="743"/>
      <c r="AW50" s="743"/>
      <c r="AX50" s="743"/>
      <c r="AY50" s="743"/>
      <c r="AZ50" s="743"/>
      <c r="BA50" s="743"/>
      <c r="BB50" s="767"/>
      <c r="BC50" s="767"/>
      <c r="BD50" s="743"/>
      <c r="BE50" s="743"/>
      <c r="BF50" s="743"/>
      <c r="BG50" s="743"/>
      <c r="BH50" s="743"/>
    </row>
    <row r="51" spans="3:60" ht="8.25" customHeight="1">
      <c r="C51" s="743"/>
      <c r="D51" s="743"/>
      <c r="E51" s="743"/>
      <c r="F51" s="743"/>
      <c r="G51" s="743"/>
      <c r="H51" s="743"/>
      <c r="I51" s="743"/>
      <c r="J51" s="743"/>
      <c r="K51" s="743"/>
      <c r="L51" s="743"/>
      <c r="M51" s="743"/>
      <c r="N51" s="743"/>
      <c r="O51" s="743"/>
      <c r="P51" s="743"/>
      <c r="Q51" s="743"/>
      <c r="R51" s="743"/>
      <c r="S51" s="743"/>
      <c r="T51" s="743"/>
      <c r="U51" s="743"/>
      <c r="V51" s="743"/>
      <c r="W51" s="743"/>
      <c r="X51" s="743"/>
      <c r="Y51" s="743"/>
      <c r="Z51" s="767"/>
      <c r="AA51" s="767"/>
      <c r="AB51" s="743"/>
      <c r="AC51" s="743"/>
      <c r="AD51" s="743"/>
      <c r="AE51" s="987"/>
      <c r="AF51" s="743"/>
      <c r="AG51" s="743"/>
      <c r="AH51" s="743"/>
      <c r="AI51" s="743"/>
      <c r="AJ51" s="743"/>
      <c r="AK51" s="743"/>
      <c r="AL51" s="743"/>
      <c r="AM51" s="743"/>
      <c r="AN51" s="743"/>
      <c r="AO51" s="743"/>
      <c r="AP51" s="743"/>
      <c r="AQ51" s="743"/>
      <c r="AR51" s="743"/>
      <c r="AS51" s="743"/>
      <c r="AT51" s="743"/>
      <c r="AU51" s="743"/>
      <c r="AV51" s="743"/>
      <c r="AW51" s="743"/>
      <c r="AX51" s="743"/>
      <c r="AY51" s="743"/>
      <c r="AZ51" s="743"/>
      <c r="BA51" s="743"/>
      <c r="BB51" s="767"/>
      <c r="BC51" s="767"/>
      <c r="BD51" s="743"/>
      <c r="BE51" s="743"/>
      <c r="BF51" s="743"/>
      <c r="BG51" s="743"/>
      <c r="BH51" s="743"/>
    </row>
    <row r="52" spans="3:60" ht="8.25" customHeight="1">
      <c r="C52" s="743"/>
      <c r="D52" s="743"/>
      <c r="E52" s="743"/>
      <c r="F52" s="743"/>
      <c r="G52" s="743"/>
      <c r="H52" s="743"/>
      <c r="I52" s="743"/>
      <c r="J52" s="743"/>
      <c r="K52" s="743"/>
      <c r="L52" s="743"/>
      <c r="M52" s="743"/>
      <c r="N52" s="743"/>
      <c r="O52" s="743"/>
      <c r="P52" s="743"/>
      <c r="Q52" s="743"/>
      <c r="R52" s="743"/>
      <c r="S52" s="743"/>
      <c r="T52" s="743"/>
      <c r="U52" s="743"/>
      <c r="V52" s="743"/>
      <c r="W52" s="743"/>
      <c r="X52" s="743"/>
      <c r="Y52" s="743"/>
      <c r="Z52" s="767"/>
      <c r="AA52" s="767"/>
      <c r="AB52" s="743"/>
      <c r="AC52" s="743"/>
      <c r="AD52" s="743"/>
      <c r="AE52" s="987"/>
      <c r="AF52" s="743"/>
      <c r="AG52" s="743"/>
      <c r="AH52" s="743"/>
      <c r="AI52" s="743"/>
      <c r="AJ52" s="743"/>
      <c r="AK52" s="743"/>
      <c r="AL52" s="743"/>
      <c r="AM52" s="743"/>
      <c r="AN52" s="743"/>
      <c r="AO52" s="743"/>
      <c r="AP52" s="743"/>
      <c r="AQ52" s="743"/>
      <c r="AR52" s="743"/>
      <c r="AS52" s="743"/>
      <c r="AT52" s="743"/>
      <c r="AU52" s="743"/>
      <c r="AV52" s="743"/>
      <c r="AW52" s="743"/>
      <c r="AX52" s="743"/>
      <c r="AY52" s="743"/>
      <c r="AZ52" s="743"/>
      <c r="BA52" s="743"/>
      <c r="BB52" s="767"/>
      <c r="BC52" s="767"/>
      <c r="BD52" s="743"/>
      <c r="BE52" s="743"/>
      <c r="BF52" s="743"/>
      <c r="BG52" s="743"/>
      <c r="BH52" s="743"/>
    </row>
    <row r="53" spans="3:60">
      <c r="C53" s="744"/>
      <c r="D53" s="745"/>
      <c r="E53" s="745"/>
      <c r="F53" s="741"/>
      <c r="G53" s="741"/>
      <c r="H53" s="741"/>
      <c r="I53" s="741"/>
      <c r="J53" s="741"/>
      <c r="K53" s="741"/>
      <c r="L53" s="741"/>
      <c r="M53" s="741"/>
      <c r="N53" s="741"/>
      <c r="O53" s="741"/>
      <c r="P53" s="741"/>
      <c r="Q53" s="741"/>
      <c r="R53" s="741"/>
      <c r="S53" s="741"/>
      <c r="T53" s="741"/>
      <c r="U53" s="741"/>
      <c r="V53" s="741"/>
      <c r="W53" s="741"/>
      <c r="X53" s="741"/>
      <c r="Y53" s="741"/>
      <c r="Z53" s="741"/>
      <c r="AA53" s="741"/>
      <c r="AB53" s="741"/>
      <c r="AC53" s="741"/>
      <c r="AD53" s="741"/>
      <c r="AE53" s="741"/>
      <c r="AF53" s="741"/>
      <c r="AG53" s="741"/>
      <c r="AH53" s="741"/>
      <c r="AI53" s="741"/>
      <c r="AJ53" s="741"/>
      <c r="AK53" s="741"/>
      <c r="AL53" s="741"/>
      <c r="AM53" s="741"/>
      <c r="AN53" s="741"/>
      <c r="AO53" s="741"/>
      <c r="AP53" s="741"/>
      <c r="AQ53" s="741"/>
      <c r="AR53" s="741"/>
      <c r="AS53" s="741"/>
      <c r="AT53" s="741"/>
      <c r="AU53" s="741"/>
      <c r="AV53" s="741"/>
      <c r="AW53" s="741"/>
      <c r="AX53" s="741"/>
      <c r="AY53" s="741"/>
      <c r="AZ53" s="741"/>
      <c r="BA53" s="741"/>
      <c r="BB53" s="741"/>
      <c r="BC53" s="741"/>
      <c r="BD53" s="741"/>
      <c r="BE53" s="741"/>
    </row>
    <row r="54" spans="3:60">
      <c r="C54" s="1203"/>
      <c r="D54" s="1203"/>
      <c r="E54" s="1203"/>
      <c r="F54" s="1203"/>
      <c r="G54" s="1203"/>
      <c r="H54" s="1203"/>
      <c r="I54" s="1203"/>
      <c r="J54" s="1203"/>
      <c r="K54" s="1203"/>
      <c r="L54" s="1203"/>
      <c r="M54" s="1203"/>
      <c r="N54" s="1203"/>
      <c r="O54" s="1203"/>
      <c r="P54" s="1203"/>
      <c r="Q54" s="1203"/>
      <c r="R54" s="1203"/>
      <c r="S54" s="1203"/>
      <c r="T54" s="1203"/>
      <c r="U54" s="1203"/>
      <c r="V54" s="1203"/>
      <c r="W54" s="1203"/>
      <c r="X54" s="1203"/>
      <c r="Y54" s="1203"/>
      <c r="Z54" s="1203"/>
      <c r="AA54" s="1203"/>
      <c r="AB54" s="1203"/>
      <c r="AC54" s="1203"/>
      <c r="AD54" s="1203"/>
      <c r="AE54" s="1203"/>
      <c r="AF54" s="1203"/>
      <c r="AG54" s="1203"/>
      <c r="AH54" s="1203"/>
      <c r="AI54" s="1203"/>
      <c r="AJ54" s="1203"/>
      <c r="AK54" s="1203"/>
      <c r="AL54" s="1203"/>
      <c r="AM54" s="1203"/>
      <c r="AN54" s="1203"/>
      <c r="AO54" s="1203"/>
      <c r="AP54" s="1203"/>
      <c r="AQ54" s="1203"/>
      <c r="AR54" s="1203"/>
      <c r="AS54" s="1203"/>
      <c r="AT54" s="1203"/>
      <c r="AU54" s="1203"/>
      <c r="AV54" s="1203"/>
      <c r="AW54" s="1203"/>
      <c r="AX54" s="743"/>
      <c r="AY54" s="743"/>
      <c r="AZ54" s="743"/>
      <c r="BA54" s="743"/>
      <c r="BB54" s="767"/>
      <c r="BC54" s="767"/>
      <c r="BD54" s="743"/>
      <c r="BE54" s="743"/>
    </row>
    <row r="55" spans="3:60">
      <c r="C55" s="1203"/>
      <c r="D55" s="1203"/>
      <c r="E55" s="1203"/>
      <c r="F55" s="1203"/>
      <c r="G55" s="1203"/>
      <c r="H55" s="1203"/>
      <c r="I55" s="1203"/>
      <c r="J55" s="1203"/>
      <c r="K55" s="1203"/>
      <c r="L55" s="1203"/>
      <c r="M55" s="1203"/>
      <c r="N55" s="1203"/>
      <c r="O55" s="1203"/>
      <c r="P55" s="1203"/>
      <c r="Q55" s="1203"/>
      <c r="R55" s="1203"/>
      <c r="S55" s="1203"/>
      <c r="T55" s="1203"/>
      <c r="U55" s="1203"/>
      <c r="V55" s="1203"/>
      <c r="W55" s="1203"/>
      <c r="X55" s="1203"/>
      <c r="Y55" s="1203"/>
      <c r="Z55" s="1203"/>
      <c r="AA55" s="1203"/>
      <c r="AB55" s="1203"/>
      <c r="AC55" s="1203"/>
      <c r="AD55" s="1203"/>
      <c r="AE55" s="1203"/>
      <c r="AF55" s="1203"/>
      <c r="AG55" s="1203"/>
      <c r="AH55" s="1203"/>
      <c r="AI55" s="1203"/>
      <c r="AJ55" s="1203"/>
      <c r="AK55" s="1203"/>
      <c r="AL55" s="1203"/>
      <c r="AM55" s="1203"/>
      <c r="AN55" s="1203"/>
      <c r="AO55" s="1203"/>
      <c r="AP55" s="1203"/>
      <c r="AQ55" s="1203"/>
      <c r="AR55" s="1203"/>
      <c r="AS55" s="1203"/>
      <c r="AT55" s="1203"/>
      <c r="AU55" s="1203"/>
      <c r="AV55" s="1203"/>
      <c r="AW55" s="1203"/>
      <c r="AX55" s="743"/>
      <c r="AY55" s="743"/>
      <c r="AZ55" s="743"/>
      <c r="BA55" s="743"/>
      <c r="BB55" s="767"/>
      <c r="BC55" s="767"/>
      <c r="BD55" s="743"/>
      <c r="BE55" s="743"/>
    </row>
    <row r="90" spans="3:3">
      <c r="C90" s="746">
        <v>178722</v>
      </c>
    </row>
    <row r="91" spans="3:3">
      <c r="C91" s="746">
        <v>684989</v>
      </c>
    </row>
    <row r="92" spans="3:3">
      <c r="C92" s="746">
        <v>777275</v>
      </c>
    </row>
    <row r="93" spans="3:3">
      <c r="C93" s="746">
        <v>998269</v>
      </c>
    </row>
    <row r="95" spans="3:3">
      <c r="C95" s="746">
        <v>2285265.8080000002</v>
      </c>
    </row>
  </sheetData>
  <sheetProtection password="CF4C" sheet="1" objects="1" scenarios="1"/>
  <mergeCells count="105">
    <mergeCell ref="BE8:BE10"/>
    <mergeCell ref="C2:AC2"/>
    <mergeCell ref="Z5:AA6"/>
    <mergeCell ref="BB5:BC6"/>
    <mergeCell ref="AD5:AD7"/>
    <mergeCell ref="C4:C10"/>
    <mergeCell ref="D4:AC4"/>
    <mergeCell ref="AF4:BE4"/>
    <mergeCell ref="D5:E7"/>
    <mergeCell ref="F5:G7"/>
    <mergeCell ref="H5:I7"/>
    <mergeCell ref="J5:K7"/>
    <mergeCell ref="L5:M7"/>
    <mergeCell ref="N5:O7"/>
    <mergeCell ref="P5:Q7"/>
    <mergeCell ref="R5:S7"/>
    <mergeCell ref="T5:U7"/>
    <mergeCell ref="V5:W7"/>
    <mergeCell ref="X5:Y6"/>
    <mergeCell ref="AB5:AC6"/>
    <mergeCell ref="AB8:AB10"/>
    <mergeCell ref="L8:L10"/>
    <mergeCell ref="AT8:AT10"/>
    <mergeCell ref="AU8:AU10"/>
    <mergeCell ref="BM5:BM7"/>
    <mergeCell ref="BN5:BN7"/>
    <mergeCell ref="BD5:BE6"/>
    <mergeCell ref="AF5:AG7"/>
    <mergeCell ref="AH5:AI7"/>
    <mergeCell ref="AJ5:AK7"/>
    <mergeCell ref="AL5:AM7"/>
    <mergeCell ref="AN5:AO7"/>
    <mergeCell ref="AP5:AQ7"/>
    <mergeCell ref="AR5:AS7"/>
    <mergeCell ref="AT5:AU7"/>
    <mergeCell ref="AV5:AW7"/>
    <mergeCell ref="AX5:AY7"/>
    <mergeCell ref="AZ5:BA6"/>
    <mergeCell ref="BV5:BV7"/>
    <mergeCell ref="BW5:BW7"/>
    <mergeCell ref="D8:D10"/>
    <mergeCell ref="E8:E10"/>
    <mergeCell ref="F8:F10"/>
    <mergeCell ref="G8:G10"/>
    <mergeCell ref="H8:H10"/>
    <mergeCell ref="I8:I10"/>
    <mergeCell ref="J8:J10"/>
    <mergeCell ref="K8:K10"/>
    <mergeCell ref="BO5:BO7"/>
    <mergeCell ref="BQ5:BQ7"/>
    <mergeCell ref="BR5:BR7"/>
    <mergeCell ref="BS5:BS7"/>
    <mergeCell ref="BT5:BT7"/>
    <mergeCell ref="BU5:BU7"/>
    <mergeCell ref="BI5:BI7"/>
    <mergeCell ref="BJ5:BJ7"/>
    <mergeCell ref="Z8:Z10"/>
    <mergeCell ref="AA8:AA10"/>
    <mergeCell ref="BB8:BB10"/>
    <mergeCell ref="BC8:BC10"/>
    <mergeCell ref="BK5:BK7"/>
    <mergeCell ref="BL5:BL7"/>
    <mergeCell ref="AV8:AV10"/>
    <mergeCell ref="AW8:AW10"/>
    <mergeCell ref="AX8:AX10"/>
    <mergeCell ref="AY8:AY10"/>
    <mergeCell ref="AN8:AN10"/>
    <mergeCell ref="AO8:AO10"/>
    <mergeCell ref="AP8:AP10"/>
    <mergeCell ref="AQ8:AQ10"/>
    <mergeCell ref="AR8:AR10"/>
    <mergeCell ref="AS8:AS10"/>
    <mergeCell ref="N8:N10"/>
    <mergeCell ref="O8:O10"/>
    <mergeCell ref="P8:P10"/>
    <mergeCell ref="Q8:Q10"/>
    <mergeCell ref="AM8:AM10"/>
    <mergeCell ref="AG8:AG10"/>
    <mergeCell ref="AC8:AC10"/>
    <mergeCell ref="AF8:AF10"/>
    <mergeCell ref="AE4:AE10"/>
    <mergeCell ref="AE2:BE2"/>
    <mergeCell ref="C3:H3"/>
    <mergeCell ref="I3:N3"/>
    <mergeCell ref="O3:T3"/>
    <mergeCell ref="U3:AB3"/>
    <mergeCell ref="C54:AW54"/>
    <mergeCell ref="C55:AW55"/>
    <mergeCell ref="AZ8:AZ10"/>
    <mergeCell ref="BA8:BA10"/>
    <mergeCell ref="BD8:BD10"/>
    <mergeCell ref="AH8:AH10"/>
    <mergeCell ref="AI8:AI10"/>
    <mergeCell ref="AJ8:AJ10"/>
    <mergeCell ref="AK8:AK10"/>
    <mergeCell ref="AL8:AL10"/>
    <mergeCell ref="R8:R10"/>
    <mergeCell ref="S8:S10"/>
    <mergeCell ref="T8:T10"/>
    <mergeCell ref="U8:U10"/>
    <mergeCell ref="V8:V10"/>
    <mergeCell ref="W8:W10"/>
    <mergeCell ref="X8:X10"/>
    <mergeCell ref="Y8:Y10"/>
    <mergeCell ref="M8:M10"/>
  </mergeCells>
  <printOptions horizontalCentered="1" gridLinesSet="0"/>
  <pageMargins left="0.64" right="0.19685039370078741" top="0.39370078740157483" bottom="0.59055118110236227" header="0" footer="0.19685039370078741"/>
  <pageSetup scale="110" fitToWidth="0" orientation="landscape" r:id="rId1"/>
  <headerFooter alignWithMargins="0"/>
  <rowBreaks count="1" manualBreakCount="1">
    <brk id="57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B1:AE44"/>
  <sheetViews>
    <sheetView showGridLines="0" zoomScale="75" zoomScaleNormal="75" workbookViewId="0">
      <selection activeCell="AF34" sqref="AF34"/>
    </sheetView>
  </sheetViews>
  <sheetFormatPr baseColWidth="10" defaultRowHeight="12.75"/>
  <cols>
    <col min="1" max="1" width="4.42578125" style="295" customWidth="1"/>
    <col min="2" max="2" width="13.7109375" style="295" customWidth="1"/>
    <col min="3" max="3" width="10.7109375" style="295" customWidth="1"/>
    <col min="4" max="4" width="12.7109375" style="295" customWidth="1"/>
    <col min="5" max="5" width="10.85546875" style="295" customWidth="1"/>
    <col min="6" max="6" width="12.7109375" style="295" customWidth="1"/>
    <col min="7" max="7" width="10.85546875" style="295" customWidth="1"/>
    <col min="8" max="8" width="12.5703125" style="295" customWidth="1"/>
    <col min="9" max="9" width="4.7109375" style="295" customWidth="1"/>
    <col min="10" max="10" width="4.42578125" style="295" customWidth="1"/>
    <col min="11" max="11" width="4.7109375" style="295" customWidth="1"/>
    <col min="12" max="12" width="13.85546875" style="295" customWidth="1"/>
    <col min="13" max="13" width="10.85546875" style="295" customWidth="1"/>
    <col min="14" max="14" width="12.7109375" style="295" customWidth="1"/>
    <col min="15" max="15" width="10.85546875" style="295" customWidth="1"/>
    <col min="16" max="16" width="12.7109375" style="295" customWidth="1"/>
    <col min="17" max="17" width="10.85546875" style="295" customWidth="1"/>
    <col min="18" max="18" width="12.7109375" style="295" customWidth="1"/>
    <col min="19" max="19" width="4.7109375" style="295" customWidth="1"/>
    <col min="20" max="22" width="4.42578125" style="295" customWidth="1"/>
    <col min="23" max="28" width="0" style="295" hidden="1" customWidth="1"/>
    <col min="29" max="29" width="14.85546875" style="295" hidden="1" customWidth="1"/>
    <col min="30" max="30" width="0" style="295" hidden="1" customWidth="1"/>
    <col min="31" max="31" width="11.42578125" style="295" hidden="1" customWidth="1"/>
    <col min="32" max="16384" width="11.42578125" style="295"/>
  </cols>
  <sheetData>
    <row r="1" spans="2:31" s="292" customFormat="1" ht="12" customHeight="1" thickBot="1">
      <c r="B1" s="293"/>
      <c r="C1" s="293"/>
      <c r="D1" s="294"/>
      <c r="E1" s="294"/>
      <c r="Z1" s="295"/>
      <c r="AA1" s="295"/>
      <c r="AB1" s="295"/>
      <c r="AC1" s="295"/>
    </row>
    <row r="2" spans="2:31" ht="31.5" customHeight="1" thickBot="1">
      <c r="B2" s="1260" t="s">
        <v>561</v>
      </c>
      <c r="C2" s="1181"/>
      <c r="D2" s="1181"/>
      <c r="E2" s="1181"/>
      <c r="F2" s="1181"/>
      <c r="G2" s="1181"/>
      <c r="H2" s="1261"/>
      <c r="I2" s="410"/>
      <c r="L2" s="1257" t="s">
        <v>562</v>
      </c>
      <c r="M2" s="1258"/>
      <c r="N2" s="1258"/>
      <c r="O2" s="1258"/>
      <c r="P2" s="1258"/>
      <c r="Q2" s="1258"/>
      <c r="R2" s="1259"/>
      <c r="W2" s="1309" t="s">
        <v>573</v>
      </c>
      <c r="X2" s="1310"/>
      <c r="Y2" s="1310"/>
      <c r="Z2" s="1310"/>
      <c r="AA2" s="1311"/>
    </row>
    <row r="3" spans="2:31" ht="16.5" customHeight="1" thickBot="1">
      <c r="B3" s="1265" t="s">
        <v>256</v>
      </c>
      <c r="C3" s="1279" t="s">
        <v>289</v>
      </c>
      <c r="D3" s="1282"/>
      <c r="E3" s="1282"/>
      <c r="F3" s="1282"/>
      <c r="G3" s="1282"/>
      <c r="H3" s="1280"/>
      <c r="L3" s="1276" t="s">
        <v>256</v>
      </c>
      <c r="M3" s="1268" t="s">
        <v>290</v>
      </c>
      <c r="N3" s="1283"/>
      <c r="O3" s="1283"/>
      <c r="P3" s="1283"/>
      <c r="Q3" s="1283"/>
      <c r="R3" s="1269"/>
      <c r="W3" s="898" t="s">
        <v>256</v>
      </c>
      <c r="X3" s="1306" t="s">
        <v>292</v>
      </c>
      <c r="Y3" s="1307"/>
      <c r="Z3" s="1307"/>
      <c r="AA3" s="1308"/>
    </row>
    <row r="4" spans="2:31" ht="14.25" customHeight="1" thickBot="1">
      <c r="B4" s="1266"/>
      <c r="C4" s="1279" t="s">
        <v>101</v>
      </c>
      <c r="D4" s="1280"/>
      <c r="E4" s="1279" t="s">
        <v>287</v>
      </c>
      <c r="F4" s="1280"/>
      <c r="G4" s="1279" t="s">
        <v>288</v>
      </c>
      <c r="H4" s="1280"/>
      <c r="L4" s="1277" t="s">
        <v>0</v>
      </c>
      <c r="M4" s="1268" t="s">
        <v>101</v>
      </c>
      <c r="N4" s="1269"/>
      <c r="O4" s="1268" t="s">
        <v>287</v>
      </c>
      <c r="P4" s="1269"/>
      <c r="Q4" s="1268" t="s">
        <v>288</v>
      </c>
      <c r="R4" s="1269"/>
      <c r="W4" s="899"/>
      <c r="X4" s="1303" t="s">
        <v>101</v>
      </c>
      <c r="Y4" s="1304"/>
      <c r="Z4" s="1304"/>
      <c r="AA4" s="1305"/>
    </row>
    <row r="5" spans="2:31" ht="22.5" customHeight="1" thickBot="1">
      <c r="B5" s="1267"/>
      <c r="C5" s="858" t="s">
        <v>378</v>
      </c>
      <c r="D5" s="858" t="s">
        <v>379</v>
      </c>
      <c r="E5" s="858" t="s">
        <v>378</v>
      </c>
      <c r="F5" s="858" t="s">
        <v>380</v>
      </c>
      <c r="G5" s="858" t="s">
        <v>378</v>
      </c>
      <c r="H5" s="858" t="s">
        <v>380</v>
      </c>
      <c r="L5" s="1278"/>
      <c r="M5" s="859" t="s">
        <v>378</v>
      </c>
      <c r="N5" s="859" t="s">
        <v>380</v>
      </c>
      <c r="O5" s="859" t="s">
        <v>378</v>
      </c>
      <c r="P5" s="859" t="s">
        <v>380</v>
      </c>
      <c r="Q5" s="859" t="s">
        <v>429</v>
      </c>
      <c r="R5" s="859" t="s">
        <v>380</v>
      </c>
      <c r="W5" s="900"/>
      <c r="X5" s="1302" t="s">
        <v>378</v>
      </c>
      <c r="Y5" s="1291"/>
      <c r="Z5" s="1290" t="s">
        <v>380</v>
      </c>
      <c r="AA5" s="1291"/>
      <c r="AB5" s="1302" t="s">
        <v>571</v>
      </c>
      <c r="AC5" s="1291"/>
      <c r="AD5" s="1290" t="s">
        <v>570</v>
      </c>
      <c r="AE5" s="1291"/>
    </row>
    <row r="6" spans="2:31" ht="15" customHeight="1" thickBot="1">
      <c r="B6" s="779">
        <v>2007</v>
      </c>
      <c r="C6" s="892">
        <v>89.890971379950784</v>
      </c>
      <c r="D6" s="892">
        <v>89.9</v>
      </c>
      <c r="E6" s="892">
        <v>95</v>
      </c>
      <c r="F6" s="892">
        <v>94.5</v>
      </c>
      <c r="G6" s="892">
        <v>73.254786465257084</v>
      </c>
      <c r="H6" s="892">
        <v>74.7</v>
      </c>
      <c r="L6" s="587">
        <v>2007</v>
      </c>
      <c r="M6" s="584">
        <v>86.2</v>
      </c>
      <c r="N6" s="584">
        <v>86.1</v>
      </c>
      <c r="O6" s="584">
        <v>94.6</v>
      </c>
      <c r="P6" s="584">
        <v>94.199999999999989</v>
      </c>
      <c r="Q6" s="584">
        <v>59.3</v>
      </c>
      <c r="R6" s="584">
        <v>59.9</v>
      </c>
      <c r="W6" s="890">
        <v>2007</v>
      </c>
      <c r="X6" s="1288">
        <v>38.5</v>
      </c>
      <c r="Y6" s="1289"/>
      <c r="Z6" s="1292">
        <v>38.299999999999997</v>
      </c>
      <c r="AA6" s="1293"/>
      <c r="AB6" s="1288">
        <v>207</v>
      </c>
      <c r="AC6" s="1289"/>
      <c r="AD6" s="1288">
        <v>79.3</v>
      </c>
      <c r="AE6" s="1289"/>
    </row>
    <row r="7" spans="2:31" ht="15" customHeight="1" thickBot="1">
      <c r="B7" s="861">
        <v>2008</v>
      </c>
      <c r="C7" s="893">
        <v>90.197184373215961</v>
      </c>
      <c r="D7" s="893">
        <v>90.269943374932637</v>
      </c>
      <c r="E7" s="893">
        <v>95.181818181818173</v>
      </c>
      <c r="F7" s="893">
        <v>94.349203982430609</v>
      </c>
      <c r="G7" s="893">
        <v>74.203829172205673</v>
      </c>
      <c r="H7" s="893">
        <v>76.830043377037143</v>
      </c>
      <c r="L7" s="585">
        <v>2008</v>
      </c>
      <c r="M7" s="586">
        <v>86.6</v>
      </c>
      <c r="N7" s="586">
        <v>86.442882461243883</v>
      </c>
      <c r="O7" s="586">
        <v>94.8</v>
      </c>
      <c r="P7" s="586">
        <v>93.907982930059319</v>
      </c>
      <c r="Q7" s="586">
        <v>60.099999999999994</v>
      </c>
      <c r="R7" s="586">
        <v>61.847689011060922</v>
      </c>
      <c r="W7" s="891">
        <v>2008</v>
      </c>
      <c r="X7" s="1284">
        <v>40.9</v>
      </c>
      <c r="Y7" s="1285"/>
      <c r="Z7" s="1294">
        <v>40.192307692307686</v>
      </c>
      <c r="AA7" s="1295"/>
      <c r="AB7" s="1284">
        <v>208</v>
      </c>
      <c r="AC7" s="1285"/>
      <c r="AD7" s="1284">
        <v>83.6</v>
      </c>
      <c r="AE7" s="1285"/>
    </row>
    <row r="8" spans="2:31" ht="15" customHeight="1" thickBot="1">
      <c r="B8" s="779">
        <v>2009</v>
      </c>
      <c r="C8" s="892">
        <v>90.70052863176717</v>
      </c>
      <c r="D8" s="892">
        <v>90.650013813043159</v>
      </c>
      <c r="E8" s="892">
        <v>95.36363636363636</v>
      </c>
      <c r="F8" s="892">
        <v>94.279017050035648</v>
      </c>
      <c r="G8" s="892">
        <v>75.152871879154262</v>
      </c>
      <c r="H8" s="892">
        <v>78.550251181081805</v>
      </c>
      <c r="K8" s="515"/>
      <c r="L8" s="587">
        <v>2009</v>
      </c>
      <c r="M8" s="584">
        <v>87</v>
      </c>
      <c r="N8" s="584">
        <v>86.796102156650576</v>
      </c>
      <c r="O8" s="584">
        <v>95</v>
      </c>
      <c r="P8" s="584">
        <v>93.880082260760005</v>
      </c>
      <c r="Q8" s="584">
        <v>60.8</v>
      </c>
      <c r="R8" s="584">
        <v>63.176812739787117</v>
      </c>
      <c r="W8" s="890">
        <v>2009</v>
      </c>
      <c r="X8" s="1286">
        <v>43.5</v>
      </c>
      <c r="Y8" s="1287"/>
      <c r="Z8" s="1296">
        <v>42.1</v>
      </c>
      <c r="AA8" s="1297"/>
      <c r="AB8" s="1286">
        <v>209</v>
      </c>
      <c r="AC8" s="1287"/>
      <c r="AD8" s="1286">
        <v>88.127080000000007</v>
      </c>
      <c r="AE8" s="1287"/>
    </row>
    <row r="9" spans="2:31" ht="15" customHeight="1" thickBot="1">
      <c r="B9" s="861">
        <v>2010</v>
      </c>
      <c r="C9" s="893">
        <v>91.098297527858406</v>
      </c>
      <c r="D9" s="894">
        <v>0</v>
      </c>
      <c r="E9" s="893">
        <v>95.545454545454547</v>
      </c>
      <c r="F9" s="894">
        <v>0</v>
      </c>
      <c r="G9" s="893">
        <v>76.101914586102851</v>
      </c>
      <c r="H9" s="894">
        <v>0</v>
      </c>
      <c r="K9" s="515"/>
      <c r="L9" s="585">
        <v>2010</v>
      </c>
      <c r="M9" s="586">
        <v>87.3</v>
      </c>
      <c r="N9" s="586">
        <v>0</v>
      </c>
      <c r="O9" s="586">
        <v>95.199999999999989</v>
      </c>
      <c r="P9" s="586">
        <v>0</v>
      </c>
      <c r="Q9" s="586">
        <v>61.6</v>
      </c>
      <c r="R9" s="586">
        <v>0</v>
      </c>
      <c r="W9" s="891">
        <v>2010</v>
      </c>
      <c r="X9" s="1284">
        <v>48.5</v>
      </c>
      <c r="Y9" s="1285"/>
      <c r="Z9" s="1298">
        <v>0</v>
      </c>
      <c r="AA9" s="1299"/>
      <c r="AB9" s="1284">
        <v>215</v>
      </c>
      <c r="AC9" s="1285"/>
      <c r="AD9" s="1284">
        <v>104.3</v>
      </c>
      <c r="AE9" s="1285"/>
    </row>
    <row r="10" spans="2:31" ht="15" customHeight="1" thickBot="1">
      <c r="B10" s="779">
        <v>2011</v>
      </c>
      <c r="C10" s="892">
        <v>91.569615957319357</v>
      </c>
      <c r="D10" s="895">
        <v>0</v>
      </c>
      <c r="E10" s="892">
        <v>95.827272727272728</v>
      </c>
      <c r="F10" s="895">
        <v>0</v>
      </c>
      <c r="G10" s="892">
        <v>77.050957293051439</v>
      </c>
      <c r="H10" s="895">
        <v>0</v>
      </c>
      <c r="K10" s="515"/>
      <c r="L10" s="587">
        <v>2011</v>
      </c>
      <c r="M10" s="584">
        <v>87.6</v>
      </c>
      <c r="N10" s="584">
        <v>0</v>
      </c>
      <c r="O10" s="584">
        <v>95.399999999999991</v>
      </c>
      <c r="P10" s="584">
        <v>0</v>
      </c>
      <c r="Q10" s="584">
        <v>62.3</v>
      </c>
      <c r="R10" s="584">
        <v>0</v>
      </c>
      <c r="W10" s="890">
        <v>2011</v>
      </c>
      <c r="X10" s="1286">
        <v>54.1</v>
      </c>
      <c r="Y10" s="1287"/>
      <c r="Z10" s="1300">
        <v>0</v>
      </c>
      <c r="AA10" s="1301"/>
      <c r="AB10" s="1286">
        <v>218</v>
      </c>
      <c r="AC10" s="1287"/>
      <c r="AD10" s="1286">
        <v>117.9</v>
      </c>
      <c r="AE10" s="1287"/>
    </row>
    <row r="11" spans="2:31" ht="15" customHeight="1" thickBot="1">
      <c r="B11" s="861">
        <v>2012</v>
      </c>
      <c r="C11" s="893">
        <v>91.952272596602413</v>
      </c>
      <c r="D11" s="894">
        <v>0</v>
      </c>
      <c r="E11" s="893">
        <v>96</v>
      </c>
      <c r="F11" s="894">
        <v>0</v>
      </c>
      <c r="G11" s="893">
        <v>78</v>
      </c>
      <c r="H11" s="894">
        <v>0</v>
      </c>
      <c r="L11" s="585">
        <v>2012</v>
      </c>
      <c r="M11" s="586">
        <v>88</v>
      </c>
      <c r="N11" s="586">
        <v>0</v>
      </c>
      <c r="O11" s="586">
        <v>95.6</v>
      </c>
      <c r="P11" s="586">
        <v>0</v>
      </c>
      <c r="Q11" s="586">
        <v>63</v>
      </c>
      <c r="R11" s="586">
        <v>0</v>
      </c>
      <c r="W11" s="891">
        <v>2012</v>
      </c>
      <c r="X11" s="1284">
        <v>60</v>
      </c>
      <c r="Y11" s="1285"/>
      <c r="Z11" s="1298">
        <v>0</v>
      </c>
      <c r="AA11" s="1299"/>
      <c r="AB11" s="1284">
        <v>220</v>
      </c>
      <c r="AC11" s="1285"/>
      <c r="AD11" s="1284">
        <v>132</v>
      </c>
      <c r="AE11" s="1285"/>
    </row>
    <row r="12" spans="2:31" ht="12" customHeight="1">
      <c r="B12" s="860" t="s">
        <v>377</v>
      </c>
      <c r="C12" s="516"/>
      <c r="D12" s="516"/>
      <c r="E12" s="516"/>
      <c r="F12" s="516"/>
      <c r="G12" s="516"/>
      <c r="H12" s="516"/>
      <c r="I12" s="516"/>
      <c r="J12" s="516"/>
      <c r="L12" s="864" t="s">
        <v>377</v>
      </c>
      <c r="M12" s="516"/>
      <c r="N12" s="516"/>
      <c r="O12" s="516"/>
      <c r="P12" s="516"/>
      <c r="Q12" s="516"/>
      <c r="R12" s="516"/>
      <c r="S12" s="517"/>
      <c r="T12" s="517"/>
      <c r="W12" s="1281" t="s">
        <v>545</v>
      </c>
      <c r="X12" s="1281"/>
      <c r="Y12" s="1281"/>
      <c r="Z12" s="1281"/>
      <c r="AA12" s="1281"/>
      <c r="AB12" s="1281"/>
      <c r="AC12" s="1281"/>
      <c r="AD12" s="1281"/>
      <c r="AE12" s="1281"/>
    </row>
    <row r="14" spans="2:31" ht="13.5" thickBot="1"/>
    <row r="15" spans="2:31" ht="32.25" customHeight="1" thickTop="1" thickBot="1">
      <c r="B15" s="1272" t="s">
        <v>558</v>
      </c>
      <c r="C15" s="1273"/>
      <c r="D15" s="1273"/>
      <c r="E15" s="1273"/>
      <c r="F15" s="1273"/>
      <c r="G15" s="1273"/>
      <c r="H15" s="1274"/>
      <c r="I15" s="1275"/>
      <c r="J15" s="518"/>
      <c r="K15" s="518"/>
      <c r="L15" s="1262" t="s">
        <v>640</v>
      </c>
      <c r="M15" s="1263"/>
      <c r="N15" s="1263"/>
      <c r="O15" s="1263"/>
      <c r="P15" s="1263"/>
      <c r="Q15" s="1263"/>
      <c r="R15" s="1264"/>
      <c r="W15" s="1270" t="s">
        <v>572</v>
      </c>
      <c r="X15" s="1270"/>
      <c r="Y15" s="1270"/>
      <c r="Z15" s="1270"/>
      <c r="AA15" s="1270"/>
      <c r="AB15" s="1270"/>
      <c r="AC15" s="1271"/>
      <c r="AD15" s="1270"/>
      <c r="AE15" s="1270"/>
    </row>
    <row r="16" spans="2:31">
      <c r="B16" s="578"/>
      <c r="C16" s="571"/>
      <c r="D16" s="571"/>
      <c r="E16" s="571"/>
      <c r="F16" s="571"/>
      <c r="G16" s="571"/>
      <c r="H16" s="571"/>
      <c r="I16" s="579"/>
      <c r="L16" s="573"/>
      <c r="M16" s="571"/>
      <c r="N16" s="571"/>
      <c r="O16" s="571"/>
      <c r="P16" s="571"/>
      <c r="Q16" s="571"/>
      <c r="R16" s="574"/>
    </row>
    <row r="17" spans="2:18">
      <c r="B17" s="578"/>
      <c r="C17" s="571"/>
      <c r="D17" s="571"/>
      <c r="E17" s="571"/>
      <c r="F17" s="571"/>
      <c r="G17" s="571"/>
      <c r="H17" s="571"/>
      <c r="I17" s="579"/>
      <c r="L17" s="573"/>
      <c r="M17" s="571"/>
      <c r="N17" s="571"/>
      <c r="O17" s="571"/>
      <c r="P17" s="571"/>
      <c r="Q17" s="571"/>
      <c r="R17" s="574"/>
    </row>
    <row r="18" spans="2:18">
      <c r="B18" s="578"/>
      <c r="C18" s="571"/>
      <c r="D18" s="571"/>
      <c r="E18" s="571"/>
      <c r="F18" s="571"/>
      <c r="G18" s="571"/>
      <c r="H18" s="571"/>
      <c r="I18" s="579"/>
      <c r="L18" s="573"/>
      <c r="M18" s="571"/>
      <c r="N18" s="571"/>
      <c r="O18" s="571"/>
      <c r="P18" s="571"/>
      <c r="Q18" s="571"/>
      <c r="R18" s="574"/>
    </row>
    <row r="19" spans="2:18">
      <c r="B19" s="580"/>
      <c r="C19" s="572"/>
      <c r="D19" s="571"/>
      <c r="E19" s="571"/>
      <c r="F19" s="571"/>
      <c r="G19" s="571"/>
      <c r="H19" s="571"/>
      <c r="I19" s="579"/>
      <c r="L19" s="573"/>
      <c r="M19" s="571"/>
      <c r="N19" s="571"/>
      <c r="O19" s="571"/>
      <c r="P19" s="571"/>
      <c r="Q19" s="571"/>
      <c r="R19" s="574"/>
    </row>
    <row r="20" spans="2:18">
      <c r="B20" s="578"/>
      <c r="C20" s="571"/>
      <c r="D20" s="571"/>
      <c r="E20" s="571"/>
      <c r="F20" s="571"/>
      <c r="G20" s="571"/>
      <c r="H20" s="571"/>
      <c r="I20" s="579"/>
      <c r="L20" s="573"/>
      <c r="M20" s="571"/>
      <c r="N20" s="571"/>
      <c r="O20" s="571"/>
      <c r="P20" s="571"/>
      <c r="Q20" s="571"/>
      <c r="R20" s="574"/>
    </row>
    <row r="21" spans="2:18">
      <c r="B21" s="578"/>
      <c r="C21" s="571"/>
      <c r="D21" s="571"/>
      <c r="E21" s="571"/>
      <c r="F21" s="571"/>
      <c r="G21" s="571"/>
      <c r="H21" s="571"/>
      <c r="I21" s="579"/>
      <c r="L21" s="573"/>
      <c r="M21" s="571"/>
      <c r="N21" s="571"/>
      <c r="O21" s="571"/>
      <c r="P21" s="571"/>
      <c r="Q21" s="571"/>
      <c r="R21" s="574"/>
    </row>
    <row r="22" spans="2:18">
      <c r="B22" s="578"/>
      <c r="C22" s="571"/>
      <c r="D22" s="571"/>
      <c r="E22" s="571"/>
      <c r="F22" s="571"/>
      <c r="G22" s="571"/>
      <c r="H22" s="571"/>
      <c r="I22" s="579"/>
      <c r="L22" s="573"/>
      <c r="M22" s="571"/>
      <c r="N22" s="571"/>
      <c r="O22" s="571"/>
      <c r="P22" s="571"/>
      <c r="Q22" s="571"/>
      <c r="R22" s="574"/>
    </row>
    <row r="23" spans="2:18">
      <c r="B23" s="578"/>
      <c r="C23" s="571"/>
      <c r="D23" s="571"/>
      <c r="E23" s="571"/>
      <c r="F23" s="571"/>
      <c r="G23" s="571"/>
      <c r="H23" s="571"/>
      <c r="I23" s="579"/>
      <c r="L23" s="573"/>
      <c r="M23" s="571"/>
      <c r="N23" s="571"/>
      <c r="O23" s="571"/>
      <c r="P23" s="571"/>
      <c r="Q23" s="571"/>
      <c r="R23" s="574"/>
    </row>
    <row r="24" spans="2:18">
      <c r="B24" s="578"/>
      <c r="C24" s="571"/>
      <c r="D24" s="571"/>
      <c r="E24" s="571"/>
      <c r="F24" s="571"/>
      <c r="G24" s="571"/>
      <c r="H24" s="571"/>
      <c r="I24" s="579"/>
      <c r="L24" s="573"/>
      <c r="M24" s="571"/>
      <c r="N24" s="571"/>
      <c r="O24" s="571"/>
      <c r="P24" s="571"/>
      <c r="Q24" s="571"/>
      <c r="R24" s="574"/>
    </row>
    <row r="25" spans="2:18">
      <c r="B25" s="578"/>
      <c r="C25" s="571"/>
      <c r="D25" s="571"/>
      <c r="E25" s="571"/>
      <c r="F25" s="571"/>
      <c r="G25" s="571"/>
      <c r="H25" s="571"/>
      <c r="I25" s="579"/>
      <c r="L25" s="573"/>
      <c r="M25" s="571"/>
      <c r="N25" s="571"/>
      <c r="O25" s="571"/>
      <c r="P25" s="571"/>
      <c r="Q25" s="571"/>
      <c r="R25" s="574"/>
    </row>
    <row r="26" spans="2:18">
      <c r="B26" s="580"/>
      <c r="C26" s="572"/>
      <c r="D26" s="571"/>
      <c r="E26" s="571"/>
      <c r="F26" s="571"/>
      <c r="G26" s="571"/>
      <c r="H26" s="571"/>
      <c r="I26" s="579"/>
      <c r="L26" s="573"/>
      <c r="M26" s="571"/>
      <c r="N26" s="571"/>
      <c r="O26" s="571"/>
      <c r="P26" s="571"/>
      <c r="Q26" s="571"/>
      <c r="R26" s="574"/>
    </row>
    <row r="27" spans="2:18">
      <c r="B27" s="578"/>
      <c r="C27" s="571"/>
      <c r="D27" s="571"/>
      <c r="E27" s="571"/>
      <c r="F27" s="571"/>
      <c r="G27" s="571"/>
      <c r="H27" s="571"/>
      <c r="I27" s="579"/>
      <c r="L27" s="573"/>
      <c r="M27" s="571"/>
      <c r="N27" s="571"/>
      <c r="O27" s="571"/>
      <c r="P27" s="571"/>
      <c r="Q27" s="571"/>
      <c r="R27" s="574"/>
    </row>
    <row r="28" spans="2:18">
      <c r="B28" s="578"/>
      <c r="C28" s="571"/>
      <c r="D28" s="571"/>
      <c r="E28" s="571"/>
      <c r="F28" s="571"/>
      <c r="G28" s="571"/>
      <c r="H28" s="571"/>
      <c r="I28" s="579"/>
      <c r="L28" s="573"/>
      <c r="M28" s="571"/>
      <c r="N28" s="571"/>
      <c r="O28" s="571"/>
      <c r="P28" s="571"/>
      <c r="Q28" s="571"/>
      <c r="R28" s="574"/>
    </row>
    <row r="29" spans="2:18">
      <c r="B29" s="580"/>
      <c r="C29" s="572"/>
      <c r="D29" s="571"/>
      <c r="E29" s="571"/>
      <c r="F29" s="571"/>
      <c r="G29" s="571"/>
      <c r="H29" s="571"/>
      <c r="I29" s="579"/>
      <c r="L29" s="573"/>
      <c r="M29" s="571"/>
      <c r="N29" s="571"/>
      <c r="O29" s="571"/>
      <c r="P29" s="571"/>
      <c r="Q29" s="571"/>
      <c r="R29" s="574"/>
    </row>
    <row r="30" spans="2:18">
      <c r="B30" s="578"/>
      <c r="C30" s="571"/>
      <c r="D30" s="571"/>
      <c r="E30" s="571"/>
      <c r="F30" s="571"/>
      <c r="G30" s="571"/>
      <c r="H30" s="571"/>
      <c r="I30" s="579"/>
      <c r="L30" s="573"/>
      <c r="M30" s="571"/>
      <c r="N30" s="571"/>
      <c r="O30" s="571"/>
      <c r="P30" s="571"/>
      <c r="Q30" s="571"/>
      <c r="R30" s="574"/>
    </row>
    <row r="31" spans="2:18">
      <c r="B31" s="578"/>
      <c r="C31" s="571"/>
      <c r="D31" s="571"/>
      <c r="E31" s="571"/>
      <c r="F31" s="571"/>
      <c r="G31" s="571"/>
      <c r="H31" s="571"/>
      <c r="I31" s="579"/>
      <c r="L31" s="573"/>
      <c r="M31" s="571"/>
      <c r="N31" s="571"/>
      <c r="O31" s="571"/>
      <c r="P31" s="571"/>
      <c r="Q31" s="571"/>
      <c r="R31" s="574"/>
    </row>
    <row r="32" spans="2:18">
      <c r="B32" s="578"/>
      <c r="C32" s="571"/>
      <c r="D32" s="571"/>
      <c r="E32" s="571"/>
      <c r="F32" s="571"/>
      <c r="G32" s="571"/>
      <c r="H32" s="571"/>
      <c r="I32" s="579"/>
      <c r="L32" s="573"/>
      <c r="M32" s="571"/>
      <c r="N32" s="571"/>
      <c r="O32" s="571"/>
      <c r="P32" s="571"/>
      <c r="Q32" s="571"/>
      <c r="R32" s="574"/>
    </row>
    <row r="33" spans="2:23">
      <c r="B33" s="578"/>
      <c r="C33" s="571"/>
      <c r="D33" s="571"/>
      <c r="E33" s="571"/>
      <c r="F33" s="571"/>
      <c r="G33" s="571"/>
      <c r="H33" s="571"/>
      <c r="I33" s="579"/>
      <c r="L33" s="573"/>
      <c r="M33" s="571"/>
      <c r="N33" s="571"/>
      <c r="O33" s="571"/>
      <c r="P33" s="571"/>
      <c r="Q33" s="571"/>
      <c r="R33" s="574"/>
    </row>
    <row r="34" spans="2:23">
      <c r="B34" s="578"/>
      <c r="C34" s="571"/>
      <c r="D34" s="571"/>
      <c r="E34" s="571"/>
      <c r="F34" s="571"/>
      <c r="G34" s="571"/>
      <c r="H34" s="571"/>
      <c r="I34" s="579"/>
      <c r="L34" s="573"/>
      <c r="M34" s="571"/>
      <c r="N34" s="571"/>
      <c r="O34" s="571"/>
      <c r="P34" s="571"/>
      <c r="Q34" s="571"/>
      <c r="R34" s="574"/>
    </row>
    <row r="35" spans="2:23">
      <c r="B35" s="578"/>
      <c r="C35" s="571"/>
      <c r="D35" s="571"/>
      <c r="E35" s="571"/>
      <c r="F35" s="571"/>
      <c r="G35" s="571"/>
      <c r="H35" s="571"/>
      <c r="I35" s="579"/>
      <c r="L35" s="573"/>
      <c r="M35" s="571"/>
      <c r="N35" s="571"/>
      <c r="O35" s="571"/>
      <c r="P35" s="571"/>
      <c r="Q35" s="571"/>
      <c r="R35" s="574"/>
    </row>
    <row r="36" spans="2:23">
      <c r="B36" s="578"/>
      <c r="C36" s="571"/>
      <c r="D36" s="571"/>
      <c r="E36" s="571"/>
      <c r="F36" s="571"/>
      <c r="G36" s="571"/>
      <c r="H36" s="571"/>
      <c r="I36" s="579"/>
      <c r="L36" s="573"/>
      <c r="M36" s="571"/>
      <c r="N36" s="571"/>
      <c r="O36" s="571"/>
      <c r="P36" s="571"/>
      <c r="Q36" s="571"/>
      <c r="R36" s="574"/>
    </row>
    <row r="37" spans="2:23">
      <c r="B37" s="580"/>
      <c r="C37" s="572"/>
      <c r="D37" s="571"/>
      <c r="E37" s="571"/>
      <c r="F37" s="571"/>
      <c r="G37" s="571"/>
      <c r="H37" s="571"/>
      <c r="I37" s="579"/>
      <c r="L37" s="573"/>
      <c r="M37" s="571"/>
      <c r="N37" s="571"/>
      <c r="O37" s="571"/>
      <c r="P37" s="571"/>
      <c r="Q37" s="571"/>
      <c r="R37" s="574"/>
    </row>
    <row r="38" spans="2:23">
      <c r="B38" s="578"/>
      <c r="C38" s="571"/>
      <c r="D38" s="571"/>
      <c r="E38" s="571"/>
      <c r="F38" s="571"/>
      <c r="G38" s="571"/>
      <c r="H38" s="571"/>
      <c r="I38" s="579"/>
      <c r="L38" s="573"/>
      <c r="M38" s="571"/>
      <c r="N38" s="571"/>
      <c r="O38" s="571"/>
      <c r="P38" s="571"/>
      <c r="Q38" s="571"/>
      <c r="R38" s="574"/>
    </row>
    <row r="39" spans="2:23">
      <c r="B39" s="578"/>
      <c r="C39" s="571"/>
      <c r="D39" s="571"/>
      <c r="E39" s="571"/>
      <c r="F39" s="571"/>
      <c r="G39" s="571"/>
      <c r="H39" s="571"/>
      <c r="I39" s="579"/>
      <c r="L39" s="573"/>
      <c r="M39" s="571"/>
      <c r="N39" s="571"/>
      <c r="O39" s="571"/>
      <c r="P39" s="571"/>
      <c r="Q39" s="571"/>
      <c r="R39" s="574"/>
    </row>
    <row r="40" spans="2:23">
      <c r="B40" s="578"/>
      <c r="C40" s="571"/>
      <c r="D40" s="571"/>
      <c r="E40" s="571"/>
      <c r="F40" s="571"/>
      <c r="G40" s="571"/>
      <c r="H40" s="571"/>
      <c r="I40" s="579"/>
      <c r="L40" s="573"/>
      <c r="M40" s="571"/>
      <c r="N40" s="571"/>
      <c r="O40" s="571"/>
      <c r="P40" s="571"/>
      <c r="Q40" s="571"/>
      <c r="R40" s="574"/>
    </row>
    <row r="41" spans="2:23">
      <c r="B41" s="578"/>
      <c r="C41" s="571"/>
      <c r="D41" s="571"/>
      <c r="E41" s="571"/>
      <c r="F41" s="571"/>
      <c r="G41" s="571"/>
      <c r="H41" s="571"/>
      <c r="I41" s="579"/>
      <c r="L41" s="573"/>
      <c r="M41" s="571"/>
      <c r="N41" s="571"/>
      <c r="O41" s="571"/>
      <c r="P41" s="571"/>
      <c r="Q41" s="571"/>
      <c r="R41" s="574"/>
    </row>
    <row r="42" spans="2:23" ht="13.5" thickBot="1">
      <c r="B42" s="581"/>
      <c r="C42" s="582"/>
      <c r="D42" s="582"/>
      <c r="E42" s="582"/>
      <c r="F42" s="582"/>
      <c r="G42" s="582"/>
      <c r="H42" s="582"/>
      <c r="I42" s="583"/>
      <c r="L42" s="577"/>
      <c r="M42" s="575"/>
      <c r="N42" s="575"/>
      <c r="O42" s="575"/>
      <c r="P42" s="575"/>
      <c r="Q42" s="575"/>
      <c r="R42" s="576"/>
    </row>
    <row r="43" spans="2:23" ht="13.5" thickTop="1">
      <c r="B43" s="862" t="s">
        <v>377</v>
      </c>
      <c r="C43" s="571"/>
      <c r="D43" s="571"/>
      <c r="E43" s="571"/>
      <c r="F43" s="571"/>
      <c r="G43" s="571"/>
      <c r="H43" s="571"/>
      <c r="I43" s="571"/>
      <c r="L43" s="863" t="s">
        <v>377</v>
      </c>
      <c r="W43" s="869" t="s">
        <v>377</v>
      </c>
    </row>
    <row r="44" spans="2:23">
      <c r="B44" s="519"/>
      <c r="C44" s="519"/>
    </row>
  </sheetData>
  <sheetProtection password="CF4C" sheet="1" objects="1" scenarios="1"/>
  <mergeCells count="48">
    <mergeCell ref="AB11:AC11"/>
    <mergeCell ref="AD11:AE11"/>
    <mergeCell ref="AB6:AC6"/>
    <mergeCell ref="AD6:AE6"/>
    <mergeCell ref="AB7:AC7"/>
    <mergeCell ref="AD7:AE7"/>
    <mergeCell ref="AB8:AC8"/>
    <mergeCell ref="AD8:AE8"/>
    <mergeCell ref="AB9:AC9"/>
    <mergeCell ref="AD9:AE9"/>
    <mergeCell ref="AB10:AC10"/>
    <mergeCell ref="AD10:AE10"/>
    <mergeCell ref="AB5:AC5"/>
    <mergeCell ref="AD5:AE5"/>
    <mergeCell ref="X4:AA4"/>
    <mergeCell ref="X3:AA3"/>
    <mergeCell ref="W2:AA2"/>
    <mergeCell ref="X5:Y5"/>
    <mergeCell ref="X6:Y6"/>
    <mergeCell ref="Z5:AA5"/>
    <mergeCell ref="Z6:AA6"/>
    <mergeCell ref="X11:Y11"/>
    <mergeCell ref="Z7:AA7"/>
    <mergeCell ref="Z8:AA8"/>
    <mergeCell ref="Z9:AA9"/>
    <mergeCell ref="Z10:AA10"/>
    <mergeCell ref="Z11:AA11"/>
    <mergeCell ref="W15:AC15"/>
    <mergeCell ref="B15:I15"/>
    <mergeCell ref="AD15:AE15"/>
    <mergeCell ref="L3:L5"/>
    <mergeCell ref="G4:H4"/>
    <mergeCell ref="M4:N4"/>
    <mergeCell ref="O4:P4"/>
    <mergeCell ref="W12:AE12"/>
    <mergeCell ref="C3:H3"/>
    <mergeCell ref="M3:R3"/>
    <mergeCell ref="C4:D4"/>
    <mergeCell ref="E4:F4"/>
    <mergeCell ref="X7:Y7"/>
    <mergeCell ref="X8:Y8"/>
    <mergeCell ref="X9:Y9"/>
    <mergeCell ref="X10:Y10"/>
    <mergeCell ref="L2:R2"/>
    <mergeCell ref="B2:H2"/>
    <mergeCell ref="L15:R15"/>
    <mergeCell ref="B3:B5"/>
    <mergeCell ref="Q4:R4"/>
  </mergeCells>
  <printOptions horizontalCentered="1"/>
  <pageMargins left="0.66" right="0.35433070866141736" top="0.6692913385826772" bottom="0.59055118110236227" header="0.39370078740157483" footer="0.39370078740157483"/>
  <pageSetup fitToWidth="0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X65"/>
  <sheetViews>
    <sheetView showGridLines="0" topLeftCell="I4" zoomScale="75" zoomScaleNormal="75" workbookViewId="0">
      <pane ySplit="1" topLeftCell="A5" activePane="bottomLeft" state="frozen"/>
      <selection activeCell="I4" sqref="I4"/>
      <selection pane="bottomLeft" activeCell="AF36" sqref="AF36"/>
    </sheetView>
  </sheetViews>
  <sheetFormatPr baseColWidth="10" defaultRowHeight="15"/>
  <cols>
    <col min="1" max="1" width="11.42578125" style="520"/>
    <col min="2" max="7" width="1.7109375" style="520" customWidth="1"/>
    <col min="8" max="8" width="7.5703125" style="520" customWidth="1"/>
    <col min="9" max="9" width="4.42578125" style="520" customWidth="1"/>
    <col min="10" max="21" width="11.42578125" style="520"/>
    <col min="22" max="22" width="3" style="520" customWidth="1"/>
    <col min="23" max="24" width="11.42578125" style="520"/>
    <col min="25" max="25" width="13" style="520" customWidth="1"/>
    <col min="26" max="26" width="11.42578125" style="520" customWidth="1"/>
    <col min="27" max="16384" width="11.42578125" style="520"/>
  </cols>
  <sheetData>
    <row r="1" spans="1:21" s="1033" customFormat="1" ht="6" customHeight="1">
      <c r="A1" s="1034"/>
      <c r="B1" s="1035" t="s">
        <v>381</v>
      </c>
      <c r="C1" s="1034"/>
      <c r="D1" s="1034"/>
      <c r="E1" s="1034"/>
      <c r="F1" s="1034"/>
      <c r="G1" s="1034"/>
      <c r="H1" s="1034"/>
    </row>
    <row r="2" spans="1:21" ht="5.25" customHeight="1">
      <c r="A2" s="1040"/>
      <c r="B2" s="1040"/>
      <c r="C2" s="1040"/>
      <c r="D2" s="1040"/>
      <c r="E2" s="1040"/>
      <c r="F2" s="1040"/>
      <c r="G2" s="1040"/>
      <c r="H2" s="1040"/>
    </row>
    <row r="3" spans="1:21" ht="4.5" customHeight="1">
      <c r="A3" s="1040"/>
      <c r="B3" s="1040"/>
      <c r="C3" s="1036">
        <v>1990</v>
      </c>
      <c r="D3" s="1036" t="s">
        <v>382</v>
      </c>
      <c r="E3" s="1036" t="s">
        <v>383</v>
      </c>
      <c r="F3" s="1036">
        <v>2009</v>
      </c>
      <c r="G3" s="1036" t="s">
        <v>384</v>
      </c>
      <c r="H3" s="1036"/>
      <c r="J3" s="521"/>
    </row>
    <row r="4" spans="1:21" ht="5.25" customHeight="1">
      <c r="A4" s="1040"/>
      <c r="B4" s="1040" t="s">
        <v>385</v>
      </c>
      <c r="C4" s="1037">
        <v>78.400000000000006</v>
      </c>
      <c r="D4" s="1037">
        <v>10.799999999999997</v>
      </c>
      <c r="E4" s="1037">
        <v>89.2</v>
      </c>
      <c r="F4" s="1037">
        <v>90.650013813043159</v>
      </c>
      <c r="G4" s="1037">
        <v>1.4500138130431566</v>
      </c>
      <c r="H4" s="1037"/>
      <c r="J4" s="521"/>
    </row>
    <row r="5" spans="1:21" ht="3.75" customHeight="1">
      <c r="A5" s="1040"/>
      <c r="B5" s="1040" t="s">
        <v>386</v>
      </c>
      <c r="C5" s="1037">
        <v>61.5</v>
      </c>
      <c r="D5" s="1037">
        <v>19.25</v>
      </c>
      <c r="E5" s="1037">
        <v>80.75</v>
      </c>
      <c r="F5" s="1037">
        <v>86.796102156650576</v>
      </c>
      <c r="G5" s="1037">
        <v>6.0461021566505764</v>
      </c>
      <c r="H5" s="1037"/>
      <c r="J5" s="521"/>
    </row>
    <row r="6" spans="1:21" ht="3" customHeight="1">
      <c r="A6" s="1040"/>
      <c r="B6" s="1040"/>
      <c r="C6" s="1040"/>
      <c r="D6" s="1040"/>
      <c r="E6" s="1040"/>
      <c r="F6" s="1040"/>
      <c r="G6" s="1040"/>
      <c r="H6" s="1040"/>
      <c r="J6" s="521"/>
    </row>
    <row r="7" spans="1:21" ht="3" customHeight="1">
      <c r="A7" s="1034"/>
      <c r="B7" s="1034"/>
      <c r="C7" s="1034"/>
      <c r="D7" s="1034"/>
      <c r="E7" s="1034"/>
      <c r="F7" s="1034"/>
      <c r="G7" s="1034"/>
      <c r="H7" s="1034"/>
      <c r="J7" s="521"/>
    </row>
    <row r="8" spans="1:21" ht="5.25" customHeight="1">
      <c r="A8" s="1034"/>
      <c r="B8" s="1034"/>
      <c r="C8" s="1034"/>
      <c r="D8" s="1322" t="s">
        <v>431</v>
      </c>
      <c r="E8" s="1322"/>
      <c r="F8" s="1322" t="s">
        <v>430</v>
      </c>
      <c r="G8" s="1322"/>
      <c r="H8" s="1038"/>
      <c r="J8" s="521"/>
    </row>
    <row r="9" spans="1:21" ht="3.75" customHeight="1" thickBot="1">
      <c r="A9" s="1034"/>
      <c r="B9" s="1034"/>
      <c r="C9" s="1034"/>
      <c r="D9" s="1038"/>
      <c r="E9" s="1038"/>
      <c r="F9" s="1038"/>
      <c r="G9" s="1038"/>
      <c r="H9" s="1034"/>
      <c r="J9" s="521"/>
    </row>
    <row r="10" spans="1:21" ht="24" customHeight="1" thickTop="1" thickBot="1">
      <c r="A10" s="1034"/>
      <c r="B10" s="1034"/>
      <c r="C10" s="1034">
        <v>1990</v>
      </c>
      <c r="D10" s="1034">
        <v>78.400000000000006</v>
      </c>
      <c r="E10" s="1034">
        <v>61.5</v>
      </c>
      <c r="F10" s="1039">
        <v>78.394310831224431</v>
      </c>
      <c r="G10" s="1039">
        <v>61.484955632595565</v>
      </c>
      <c r="H10" s="1039"/>
      <c r="J10" s="1317" t="s">
        <v>559</v>
      </c>
      <c r="K10" s="1318"/>
      <c r="L10" s="1318"/>
      <c r="M10" s="1318"/>
      <c r="N10" s="1318"/>
      <c r="O10" s="1318"/>
      <c r="P10" s="1319"/>
      <c r="Q10" s="1320"/>
      <c r="R10" s="1320"/>
      <c r="S10" s="1320"/>
      <c r="T10" s="1320"/>
      <c r="U10" s="1321"/>
    </row>
    <row r="11" spans="1:21">
      <c r="D11" s="522"/>
      <c r="E11" s="522"/>
      <c r="F11" s="521"/>
      <c r="G11" s="521"/>
      <c r="H11" s="521"/>
      <c r="J11" s="589"/>
      <c r="K11" s="590"/>
      <c r="L11" s="590"/>
      <c r="M11" s="590"/>
      <c r="N11" s="590"/>
      <c r="O11" s="590"/>
      <c r="P11" s="590"/>
      <c r="Q11" s="590"/>
      <c r="R11" s="590"/>
      <c r="S11" s="590"/>
      <c r="T11" s="590"/>
      <c r="U11" s="591"/>
    </row>
    <row r="12" spans="1:21">
      <c r="D12" s="522"/>
      <c r="E12" s="522"/>
      <c r="F12" s="521"/>
      <c r="G12" s="521"/>
      <c r="H12" s="521"/>
      <c r="J12" s="589"/>
      <c r="K12" s="590"/>
      <c r="L12" s="590"/>
      <c r="M12" s="590"/>
      <c r="N12" s="590"/>
      <c r="O12" s="590"/>
      <c r="P12" s="590"/>
      <c r="Q12" s="590"/>
      <c r="R12" s="590"/>
      <c r="S12" s="590"/>
      <c r="T12" s="590"/>
      <c r="U12" s="591"/>
    </row>
    <row r="13" spans="1:21">
      <c r="D13" s="522"/>
      <c r="E13" s="522"/>
      <c r="F13" s="521"/>
      <c r="G13" s="521"/>
      <c r="H13" s="521"/>
      <c r="J13" s="589"/>
      <c r="K13" s="590"/>
      <c r="L13" s="590"/>
      <c r="M13" s="590"/>
      <c r="N13" s="590"/>
      <c r="O13" s="590"/>
      <c r="P13" s="590"/>
      <c r="Q13" s="590"/>
      <c r="R13" s="590"/>
      <c r="S13" s="590"/>
      <c r="T13" s="590"/>
      <c r="U13" s="591"/>
    </row>
    <row r="14" spans="1:21">
      <c r="C14" s="520">
        <v>1995</v>
      </c>
      <c r="D14" s="522">
        <v>80.560000000000016</v>
      </c>
      <c r="E14" s="522">
        <v>65.350000000000009</v>
      </c>
      <c r="F14" s="521">
        <v>84.580698939514704</v>
      </c>
      <c r="G14" s="521">
        <v>72.401762345151994</v>
      </c>
      <c r="H14" s="521"/>
      <c r="J14" s="589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1"/>
    </row>
    <row r="15" spans="1:21">
      <c r="D15" s="522"/>
      <c r="E15" s="522"/>
      <c r="F15" s="521"/>
      <c r="G15" s="521"/>
      <c r="H15" s="521"/>
      <c r="J15" s="589"/>
      <c r="K15" s="590"/>
      <c r="L15" s="590"/>
      <c r="M15" s="590"/>
      <c r="N15" s="590"/>
      <c r="O15" s="590"/>
      <c r="P15" s="590"/>
      <c r="Q15" s="590"/>
      <c r="R15" s="590"/>
      <c r="S15" s="590"/>
      <c r="T15" s="590"/>
      <c r="U15" s="591"/>
    </row>
    <row r="16" spans="1:21">
      <c r="D16" s="522"/>
      <c r="E16" s="522"/>
      <c r="F16" s="521"/>
      <c r="G16" s="521"/>
      <c r="H16" s="521"/>
      <c r="J16" s="589"/>
      <c r="K16" s="590"/>
      <c r="L16" s="590"/>
      <c r="M16" s="590"/>
      <c r="N16" s="590"/>
      <c r="O16" s="590"/>
      <c r="P16" s="590"/>
      <c r="Q16" s="590"/>
      <c r="R16" s="590"/>
      <c r="S16" s="590"/>
      <c r="T16" s="590"/>
      <c r="U16" s="591"/>
    </row>
    <row r="17" spans="3:24">
      <c r="D17" s="522"/>
      <c r="E17" s="522"/>
      <c r="F17" s="521"/>
      <c r="G17" s="521"/>
      <c r="H17" s="521"/>
      <c r="J17" s="589"/>
      <c r="K17" s="590"/>
      <c r="L17" s="590"/>
      <c r="M17" s="590"/>
      <c r="N17" s="590"/>
      <c r="O17" s="590"/>
      <c r="P17" s="590"/>
      <c r="Q17" s="590"/>
      <c r="R17" s="590"/>
      <c r="S17" s="590"/>
      <c r="T17" s="590"/>
      <c r="U17" s="591"/>
    </row>
    <row r="18" spans="3:24">
      <c r="D18" s="522"/>
      <c r="E18" s="522"/>
      <c r="F18" s="521"/>
      <c r="G18" s="521"/>
      <c r="H18" s="521"/>
      <c r="J18" s="589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1"/>
    </row>
    <row r="19" spans="3:24">
      <c r="C19" s="520">
        <v>2000</v>
      </c>
      <c r="D19" s="522">
        <v>82.720000000000027</v>
      </c>
      <c r="E19" s="522">
        <v>69.199999999999989</v>
      </c>
      <c r="F19" s="521">
        <v>87.9</v>
      </c>
      <c r="G19" s="521">
        <v>76.178809624843396</v>
      </c>
      <c r="H19" s="521"/>
      <c r="J19" s="589"/>
      <c r="K19" s="590"/>
      <c r="L19" s="590"/>
      <c r="M19" s="590"/>
      <c r="N19" s="590"/>
      <c r="O19" s="590"/>
      <c r="P19" s="590"/>
      <c r="Q19" s="590"/>
      <c r="R19" s="590"/>
      <c r="S19" s="590"/>
      <c r="T19" s="590"/>
      <c r="U19" s="591"/>
      <c r="X19" s="588"/>
    </row>
    <row r="20" spans="3:24">
      <c r="D20" s="522"/>
      <c r="E20" s="522"/>
      <c r="F20" s="521"/>
      <c r="G20" s="521"/>
      <c r="H20" s="521"/>
      <c r="J20" s="589"/>
      <c r="K20" s="590"/>
      <c r="L20" s="590"/>
      <c r="M20" s="590"/>
      <c r="N20" s="590"/>
      <c r="O20" s="590"/>
      <c r="P20" s="590"/>
      <c r="Q20" s="590"/>
      <c r="R20" s="590"/>
      <c r="S20" s="590"/>
      <c r="T20" s="590"/>
      <c r="U20" s="591"/>
    </row>
    <row r="21" spans="3:24">
      <c r="D21" s="522"/>
      <c r="E21" s="522"/>
      <c r="F21" s="521"/>
      <c r="G21" s="521"/>
      <c r="H21" s="521"/>
      <c r="J21" s="589"/>
      <c r="K21" s="590"/>
      <c r="L21" s="590"/>
      <c r="M21" s="590"/>
      <c r="N21" s="590"/>
      <c r="O21" s="590"/>
      <c r="P21" s="590"/>
      <c r="Q21" s="590"/>
      <c r="R21" s="590"/>
      <c r="S21" s="590"/>
      <c r="T21" s="590"/>
      <c r="U21" s="591"/>
    </row>
    <row r="22" spans="3:24">
      <c r="D22" s="522"/>
      <c r="E22" s="522"/>
      <c r="J22" s="589"/>
      <c r="K22" s="590"/>
      <c r="L22" s="590"/>
      <c r="M22" s="590"/>
      <c r="N22" s="590"/>
      <c r="O22" s="590"/>
      <c r="P22" s="590"/>
      <c r="Q22" s="590"/>
      <c r="R22" s="590"/>
      <c r="S22" s="590"/>
      <c r="T22" s="590"/>
      <c r="U22" s="591"/>
    </row>
    <row r="23" spans="3:24">
      <c r="D23" s="522"/>
      <c r="E23" s="522"/>
      <c r="F23" s="521"/>
      <c r="G23" s="521"/>
      <c r="H23" s="521"/>
      <c r="J23" s="589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1"/>
    </row>
    <row r="24" spans="3:24">
      <c r="C24" s="520">
        <v>2005</v>
      </c>
      <c r="D24" s="522">
        <v>84.880000000000038</v>
      </c>
      <c r="E24" s="522">
        <v>73.049999999999969</v>
      </c>
      <c r="F24" s="521">
        <v>89.198364253549798</v>
      </c>
      <c r="G24" s="521">
        <v>85.6</v>
      </c>
      <c r="H24" s="521"/>
      <c r="J24" s="589"/>
      <c r="K24" s="590"/>
      <c r="L24" s="590"/>
      <c r="M24" s="590"/>
      <c r="N24" s="590"/>
      <c r="O24" s="590"/>
      <c r="P24" s="590"/>
      <c r="Q24" s="590"/>
      <c r="R24" s="590"/>
      <c r="S24" s="590"/>
      <c r="T24" s="590"/>
      <c r="U24" s="591"/>
    </row>
    <row r="25" spans="3:24">
      <c r="C25" s="520">
        <v>2006</v>
      </c>
      <c r="D25" s="522"/>
      <c r="E25" s="522"/>
      <c r="F25" s="521"/>
      <c r="G25" s="521"/>
      <c r="H25" s="521"/>
      <c r="J25" s="589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1"/>
    </row>
    <row r="26" spans="3:24">
      <c r="C26" s="520">
        <v>2007</v>
      </c>
      <c r="D26" s="522"/>
      <c r="E26" s="522"/>
      <c r="F26" s="521"/>
      <c r="G26" s="521"/>
      <c r="H26" s="521"/>
      <c r="J26" s="589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1"/>
    </row>
    <row r="27" spans="3:24">
      <c r="C27" s="520">
        <v>2008</v>
      </c>
      <c r="D27" s="522">
        <v>86.176000000000045</v>
      </c>
      <c r="E27" s="522">
        <v>75.359999999999957</v>
      </c>
      <c r="F27" s="521"/>
      <c r="G27" s="521"/>
      <c r="H27" s="521"/>
      <c r="J27" s="589"/>
      <c r="K27" s="590"/>
      <c r="L27" s="590"/>
      <c r="M27" s="590"/>
      <c r="N27" s="590"/>
      <c r="O27" s="590"/>
      <c r="P27" s="590"/>
      <c r="Q27" s="590"/>
      <c r="R27" s="590"/>
      <c r="S27" s="590"/>
      <c r="T27" s="590"/>
      <c r="U27" s="591"/>
    </row>
    <row r="28" spans="3:24">
      <c r="C28" s="520">
        <v>2009</v>
      </c>
      <c r="D28" s="522"/>
      <c r="E28" s="522"/>
      <c r="F28" s="521">
        <v>90.650013813043159</v>
      </c>
      <c r="G28" s="521">
        <v>86.796102156650576</v>
      </c>
      <c r="H28" s="521"/>
      <c r="J28" s="589"/>
      <c r="K28" s="590"/>
      <c r="L28" s="590"/>
      <c r="M28" s="590"/>
      <c r="N28" s="590"/>
      <c r="O28" s="590"/>
      <c r="P28" s="590"/>
      <c r="Q28" s="590"/>
      <c r="R28" s="590"/>
      <c r="S28" s="590"/>
      <c r="T28" s="590"/>
      <c r="U28" s="591"/>
    </row>
    <row r="29" spans="3:24">
      <c r="C29" s="520">
        <v>2010</v>
      </c>
      <c r="D29" s="522">
        <v>87.040000000000049</v>
      </c>
      <c r="E29" s="522">
        <v>76.899999999999949</v>
      </c>
      <c r="F29" s="521"/>
      <c r="G29" s="521"/>
      <c r="H29" s="521"/>
      <c r="J29" s="589"/>
      <c r="K29" s="590"/>
      <c r="L29" s="590"/>
      <c r="M29" s="590"/>
      <c r="N29" s="590"/>
      <c r="O29" s="590"/>
      <c r="P29" s="590"/>
      <c r="Q29" s="590"/>
      <c r="R29" s="590"/>
      <c r="S29" s="590"/>
      <c r="T29" s="590"/>
      <c r="U29" s="591"/>
    </row>
    <row r="30" spans="3:24">
      <c r="D30" s="522"/>
      <c r="E30" s="522"/>
      <c r="F30" s="521"/>
      <c r="G30" s="521"/>
      <c r="H30" s="521"/>
      <c r="J30" s="589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1"/>
    </row>
    <row r="31" spans="3:24">
      <c r="C31" s="520">
        <v>2012</v>
      </c>
      <c r="D31" s="522">
        <v>87.904000000000025</v>
      </c>
      <c r="E31" s="522">
        <v>78.439999999999969</v>
      </c>
      <c r="F31" s="521">
        <v>92</v>
      </c>
      <c r="G31" s="521">
        <v>88</v>
      </c>
      <c r="H31" s="521"/>
      <c r="J31" s="589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1"/>
    </row>
    <row r="32" spans="3:24">
      <c r="D32" s="522"/>
      <c r="E32" s="522"/>
      <c r="F32" s="521"/>
      <c r="G32" s="521"/>
      <c r="H32" s="521"/>
      <c r="J32" s="589"/>
      <c r="K32" s="590"/>
      <c r="L32" s="590"/>
      <c r="M32" s="590"/>
      <c r="N32" s="590"/>
      <c r="O32" s="590"/>
      <c r="P32" s="590"/>
      <c r="Q32" s="590"/>
      <c r="R32" s="590"/>
      <c r="S32" s="590"/>
      <c r="T32" s="590"/>
      <c r="U32" s="591"/>
    </row>
    <row r="33" spans="3:21">
      <c r="D33" s="522"/>
      <c r="E33" s="522"/>
      <c r="F33" s="521"/>
      <c r="G33" s="521"/>
      <c r="H33" s="521"/>
      <c r="J33" s="589"/>
      <c r="K33" s="590"/>
      <c r="L33" s="590"/>
      <c r="M33" s="590"/>
      <c r="N33" s="590"/>
      <c r="O33" s="590"/>
      <c r="P33" s="590"/>
      <c r="Q33" s="590"/>
      <c r="R33" s="590"/>
      <c r="S33" s="590"/>
      <c r="T33" s="590"/>
      <c r="U33" s="591"/>
    </row>
    <row r="34" spans="3:21" ht="15.75" thickBot="1">
      <c r="C34" s="520">
        <v>2015</v>
      </c>
      <c r="D34" s="520">
        <v>89.2</v>
      </c>
      <c r="E34" s="522">
        <v>80.75</v>
      </c>
      <c r="F34" s="521">
        <v>92.5</v>
      </c>
      <c r="G34" s="521">
        <v>88.8</v>
      </c>
      <c r="H34" s="521"/>
      <c r="J34" s="592"/>
      <c r="K34" s="593"/>
      <c r="L34" s="593"/>
      <c r="M34" s="593"/>
      <c r="N34" s="593"/>
      <c r="O34" s="593"/>
      <c r="P34" s="593"/>
      <c r="Q34" s="593"/>
      <c r="R34" s="593"/>
      <c r="S34" s="593" t="e">
        <v>#REF!</v>
      </c>
      <c r="T34" s="593"/>
      <c r="U34" s="594"/>
    </row>
    <row r="35" spans="3:21" ht="15.75" thickTop="1">
      <c r="D35" s="522"/>
      <c r="F35" s="521"/>
      <c r="G35" s="521"/>
      <c r="H35" s="521"/>
      <c r="J35" s="1312"/>
      <c r="K35" s="1312"/>
      <c r="L35" s="1312"/>
      <c r="M35" s="1312"/>
      <c r="N35" s="1312"/>
      <c r="O35" s="1312"/>
    </row>
    <row r="36" spans="3:21">
      <c r="G36" s="523"/>
      <c r="H36" s="523"/>
      <c r="J36" s="867" t="s">
        <v>299</v>
      </c>
      <c r="K36" s="868"/>
      <c r="L36" s="868"/>
      <c r="M36" s="868"/>
      <c r="N36" s="868"/>
      <c r="O36" s="868"/>
    </row>
    <row r="37" spans="3:21" ht="15.75" thickBot="1"/>
    <row r="38" spans="3:21" ht="24.75" customHeight="1" thickTop="1" thickBot="1">
      <c r="D38" s="522">
        <v>2.159999999999954</v>
      </c>
      <c r="E38" s="522">
        <v>3.8500000000000512</v>
      </c>
      <c r="J38" s="1313" t="s">
        <v>560</v>
      </c>
      <c r="K38" s="1314"/>
      <c r="L38" s="1314"/>
      <c r="M38" s="1314"/>
      <c r="N38" s="1314"/>
      <c r="O38" s="1314"/>
      <c r="P38" s="1315"/>
      <c r="Q38" s="1315"/>
      <c r="R38" s="1315"/>
      <c r="S38" s="1315"/>
      <c r="T38" s="1315"/>
      <c r="U38" s="1316"/>
    </row>
    <row r="39" spans="3:21">
      <c r="D39" s="520">
        <v>0.43199999999999078</v>
      </c>
      <c r="E39" s="520">
        <v>0.77000000000001023</v>
      </c>
      <c r="J39" s="589"/>
      <c r="K39" s="590"/>
      <c r="L39" s="590"/>
      <c r="M39" s="590"/>
      <c r="N39" s="590"/>
      <c r="O39" s="590"/>
      <c r="P39" s="590"/>
      <c r="Q39" s="590"/>
      <c r="R39" s="590"/>
      <c r="S39" s="590"/>
      <c r="T39" s="590"/>
      <c r="U39" s="591"/>
    </row>
    <row r="40" spans="3:21">
      <c r="J40" s="589"/>
      <c r="K40" s="590"/>
      <c r="L40" s="590"/>
      <c r="M40" s="590"/>
      <c r="N40" s="590"/>
      <c r="O40" s="590"/>
      <c r="P40" s="590"/>
      <c r="Q40" s="590"/>
      <c r="R40" s="590"/>
      <c r="S40" s="590"/>
      <c r="T40" s="590"/>
      <c r="U40" s="591"/>
    </row>
    <row r="41" spans="3:21">
      <c r="J41" s="589"/>
      <c r="K41" s="590"/>
      <c r="L41" s="590"/>
      <c r="M41" s="590"/>
      <c r="N41" s="590"/>
      <c r="O41" s="590"/>
      <c r="P41" s="590"/>
      <c r="Q41" s="590"/>
      <c r="R41" s="590"/>
      <c r="S41" s="590"/>
      <c r="T41" s="590"/>
      <c r="U41" s="591"/>
    </row>
    <row r="42" spans="3:21">
      <c r="J42" s="589"/>
      <c r="K42" s="590"/>
      <c r="L42" s="590"/>
      <c r="M42" s="590"/>
      <c r="N42" s="590"/>
      <c r="O42" s="590"/>
      <c r="P42" s="590"/>
      <c r="Q42" s="590"/>
      <c r="R42" s="590"/>
      <c r="S42" s="590"/>
      <c r="T42" s="590"/>
      <c r="U42" s="591"/>
    </row>
    <row r="43" spans="3:21">
      <c r="J43" s="589"/>
      <c r="K43" s="590"/>
      <c r="L43" s="590"/>
      <c r="M43" s="590"/>
      <c r="N43" s="590"/>
      <c r="O43" s="590"/>
      <c r="P43" s="590"/>
      <c r="Q43" s="590"/>
      <c r="R43" s="590"/>
      <c r="S43" s="590"/>
      <c r="T43" s="590"/>
      <c r="U43" s="591"/>
    </row>
    <row r="44" spans="3:21">
      <c r="J44" s="589"/>
      <c r="K44" s="590"/>
      <c r="L44" s="590"/>
      <c r="M44" s="590"/>
      <c r="N44" s="590"/>
      <c r="O44" s="590"/>
      <c r="P44" s="590"/>
      <c r="Q44" s="590"/>
      <c r="R44" s="590"/>
      <c r="S44" s="590"/>
      <c r="T44" s="590"/>
      <c r="U44" s="591"/>
    </row>
    <row r="45" spans="3:21">
      <c r="J45" s="589"/>
      <c r="K45" s="590"/>
      <c r="L45" s="590"/>
      <c r="M45" s="590"/>
      <c r="N45" s="590"/>
      <c r="O45" s="590"/>
      <c r="P45" s="590"/>
      <c r="Q45" s="590"/>
      <c r="R45" s="590"/>
      <c r="S45" s="590"/>
      <c r="T45" s="590"/>
      <c r="U45" s="591"/>
    </row>
    <row r="46" spans="3:21">
      <c r="J46" s="589"/>
      <c r="K46" s="590"/>
      <c r="L46" s="590"/>
      <c r="M46" s="590"/>
      <c r="N46" s="590"/>
      <c r="O46" s="590"/>
      <c r="P46" s="590"/>
      <c r="Q46" s="590"/>
      <c r="R46" s="590"/>
      <c r="S46" s="590"/>
      <c r="T46" s="590"/>
      <c r="U46" s="591"/>
    </row>
    <row r="47" spans="3:21">
      <c r="J47" s="589"/>
      <c r="K47" s="590"/>
      <c r="L47" s="590"/>
      <c r="M47" s="590"/>
      <c r="N47" s="590"/>
      <c r="O47" s="590"/>
      <c r="P47" s="590"/>
      <c r="Q47" s="590"/>
      <c r="R47" s="590"/>
      <c r="S47" s="590"/>
      <c r="T47" s="590"/>
      <c r="U47" s="591"/>
    </row>
    <row r="48" spans="3:21">
      <c r="J48" s="589"/>
      <c r="K48" s="590"/>
      <c r="L48" s="590"/>
      <c r="M48" s="590"/>
      <c r="N48" s="590"/>
      <c r="O48" s="590"/>
      <c r="P48" s="590"/>
      <c r="Q48" s="590"/>
      <c r="R48" s="590"/>
      <c r="S48" s="590"/>
      <c r="T48" s="590"/>
      <c r="U48" s="591"/>
    </row>
    <row r="49" spans="10:21">
      <c r="J49" s="589"/>
      <c r="K49" s="590"/>
      <c r="L49" s="590"/>
      <c r="M49" s="590"/>
      <c r="N49" s="590"/>
      <c r="O49" s="590"/>
      <c r="P49" s="590"/>
      <c r="Q49" s="590"/>
      <c r="R49" s="590"/>
      <c r="S49" s="590"/>
      <c r="T49" s="590"/>
      <c r="U49" s="591"/>
    </row>
    <row r="50" spans="10:21">
      <c r="J50" s="589"/>
      <c r="K50" s="590"/>
      <c r="L50" s="590"/>
      <c r="M50" s="590"/>
      <c r="N50" s="590"/>
      <c r="O50" s="590"/>
      <c r="P50" s="590"/>
      <c r="Q50" s="590"/>
      <c r="R50" s="590"/>
      <c r="S50" s="590"/>
      <c r="T50" s="590"/>
      <c r="U50" s="591"/>
    </row>
    <row r="51" spans="10:21">
      <c r="J51" s="589"/>
      <c r="K51" s="590"/>
      <c r="L51" s="590"/>
      <c r="M51" s="590"/>
      <c r="N51" s="590"/>
      <c r="O51" s="590"/>
      <c r="P51" s="590"/>
      <c r="Q51" s="590"/>
      <c r="R51" s="590"/>
      <c r="S51" s="590"/>
      <c r="T51" s="590"/>
      <c r="U51" s="591"/>
    </row>
    <row r="52" spans="10:21">
      <c r="J52" s="589"/>
      <c r="K52" s="590"/>
      <c r="L52" s="590"/>
      <c r="M52" s="590"/>
      <c r="N52" s="590"/>
      <c r="O52" s="590"/>
      <c r="P52" s="590"/>
      <c r="Q52" s="590"/>
      <c r="R52" s="590"/>
      <c r="S52" s="590"/>
      <c r="T52" s="590"/>
      <c r="U52" s="591"/>
    </row>
    <row r="53" spans="10:21">
      <c r="J53" s="589"/>
      <c r="K53" s="590"/>
      <c r="L53" s="590"/>
      <c r="M53" s="590"/>
      <c r="N53" s="590"/>
      <c r="O53" s="590"/>
      <c r="P53" s="590"/>
      <c r="Q53" s="590"/>
      <c r="R53" s="590"/>
      <c r="S53" s="590"/>
      <c r="T53" s="590"/>
      <c r="U53" s="591"/>
    </row>
    <row r="54" spans="10:21">
      <c r="J54" s="589"/>
      <c r="K54" s="590"/>
      <c r="L54" s="590"/>
      <c r="M54" s="590"/>
      <c r="N54" s="590"/>
      <c r="O54" s="590"/>
      <c r="P54" s="590"/>
      <c r="Q54" s="590"/>
      <c r="R54" s="590"/>
      <c r="S54" s="590"/>
      <c r="T54" s="590"/>
      <c r="U54" s="591"/>
    </row>
    <row r="55" spans="10:21">
      <c r="J55" s="589"/>
      <c r="K55" s="590"/>
      <c r="L55" s="590"/>
      <c r="M55" s="590"/>
      <c r="N55" s="590"/>
      <c r="O55" s="590"/>
      <c r="P55" s="590"/>
      <c r="Q55" s="590"/>
      <c r="R55" s="590"/>
      <c r="S55" s="590"/>
      <c r="T55" s="590"/>
      <c r="U55" s="591"/>
    </row>
    <row r="56" spans="10:21">
      <c r="J56" s="589"/>
      <c r="K56" s="590"/>
      <c r="L56" s="590"/>
      <c r="M56" s="590"/>
      <c r="N56" s="590"/>
      <c r="O56" s="590"/>
      <c r="P56" s="590"/>
      <c r="Q56" s="590"/>
      <c r="R56" s="590"/>
      <c r="S56" s="590"/>
      <c r="T56" s="590"/>
      <c r="U56" s="591"/>
    </row>
    <row r="57" spans="10:21">
      <c r="J57" s="589"/>
      <c r="K57" s="590"/>
      <c r="L57" s="590"/>
      <c r="M57" s="590"/>
      <c r="N57" s="590"/>
      <c r="O57" s="590"/>
      <c r="P57" s="590"/>
      <c r="Q57" s="590"/>
      <c r="R57" s="590"/>
      <c r="S57" s="590"/>
      <c r="T57" s="590"/>
      <c r="U57" s="591"/>
    </row>
    <row r="58" spans="10:21">
      <c r="J58" s="589"/>
      <c r="K58" s="590"/>
      <c r="L58" s="590"/>
      <c r="M58" s="590"/>
      <c r="N58" s="590"/>
      <c r="O58" s="590"/>
      <c r="P58" s="590"/>
      <c r="Q58" s="590"/>
      <c r="R58" s="590"/>
      <c r="S58" s="590"/>
      <c r="T58" s="590"/>
      <c r="U58" s="591"/>
    </row>
    <row r="59" spans="10:21">
      <c r="J59" s="589"/>
      <c r="K59" s="590"/>
      <c r="L59" s="590"/>
      <c r="M59" s="590"/>
      <c r="N59" s="590"/>
      <c r="O59" s="590"/>
      <c r="P59" s="590"/>
      <c r="Q59" s="590"/>
      <c r="R59" s="590"/>
      <c r="S59" s="590"/>
      <c r="T59" s="590"/>
      <c r="U59" s="591"/>
    </row>
    <row r="60" spans="10:21">
      <c r="J60" s="589"/>
      <c r="K60" s="590"/>
      <c r="L60" s="590"/>
      <c r="M60" s="590"/>
      <c r="N60" s="590"/>
      <c r="O60" s="590"/>
      <c r="P60" s="590"/>
      <c r="Q60" s="590"/>
      <c r="R60" s="590"/>
      <c r="S60" s="590"/>
      <c r="T60" s="590"/>
      <c r="U60" s="591"/>
    </row>
    <row r="61" spans="10:21">
      <c r="J61" s="589"/>
      <c r="K61" s="590"/>
      <c r="L61" s="590"/>
      <c r="M61" s="590"/>
      <c r="N61" s="590"/>
      <c r="O61" s="590"/>
      <c r="P61" s="590"/>
      <c r="Q61" s="590"/>
      <c r="R61" s="590"/>
      <c r="S61" s="590"/>
      <c r="T61" s="590"/>
      <c r="U61" s="591"/>
    </row>
    <row r="62" spans="10:21">
      <c r="J62" s="589"/>
      <c r="K62" s="590"/>
      <c r="L62" s="590"/>
      <c r="M62" s="590"/>
      <c r="N62" s="590"/>
      <c r="O62" s="590"/>
      <c r="P62" s="590"/>
      <c r="Q62" s="590"/>
      <c r="R62" s="590"/>
      <c r="S62" s="590"/>
      <c r="T62" s="590"/>
      <c r="U62" s="591"/>
    </row>
    <row r="63" spans="10:21" ht="15.75" thickBot="1">
      <c r="J63" s="592"/>
      <c r="K63" s="593"/>
      <c r="L63" s="593"/>
      <c r="M63" s="593"/>
      <c r="N63" s="593"/>
      <c r="O63" s="593"/>
      <c r="P63" s="593"/>
      <c r="Q63" s="593"/>
      <c r="R63" s="593"/>
      <c r="S63" s="593"/>
      <c r="T63" s="593"/>
      <c r="U63" s="594"/>
    </row>
    <row r="64" spans="10:21" ht="15.75" thickTop="1">
      <c r="J64" s="1312"/>
      <c r="K64" s="1312"/>
      <c r="L64" s="1312"/>
      <c r="M64" s="1312"/>
      <c r="N64" s="1312"/>
      <c r="O64" s="1312"/>
      <c r="P64" s="524"/>
    </row>
    <row r="65" spans="10:16">
      <c r="J65" s="867" t="s">
        <v>299</v>
      </c>
      <c r="K65" s="868"/>
      <c r="L65" s="868"/>
      <c r="M65" s="868"/>
      <c r="N65" s="868"/>
      <c r="O65" s="868"/>
      <c r="P65" s="525"/>
    </row>
  </sheetData>
  <sheetProtection password="CF4C" sheet="1" objects="1" scenarios="1" formatColumns="0" formatRows="0" deleteColumns="0" deleteRows="0" selectLockedCells="1" selectUnlockedCells="1"/>
  <mergeCells count="6">
    <mergeCell ref="J64:O64"/>
    <mergeCell ref="J38:U38"/>
    <mergeCell ref="J10:U10"/>
    <mergeCell ref="D8:E8"/>
    <mergeCell ref="F8:G8"/>
    <mergeCell ref="J35:O35"/>
  </mergeCells>
  <printOptions horizontalCentered="1" verticalCentered="1"/>
  <pageMargins left="0.11811023622047245" right="0.19685039370078741" top="0.82677165354330717" bottom="2.1653543307086616" header="0.55118110236220474" footer="1.3385826771653544"/>
  <pageSetup paperSize="119" scale="94" fitToWidth="2" fitToHeight="2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49"/>
  <sheetViews>
    <sheetView showGridLines="0" zoomScale="120" zoomScaleNormal="120" workbookViewId="0">
      <selection activeCell="K6" sqref="K6"/>
    </sheetView>
  </sheetViews>
  <sheetFormatPr baseColWidth="10" defaultRowHeight="12.75"/>
  <cols>
    <col min="1" max="1" width="1.7109375" customWidth="1"/>
    <col min="2" max="2" width="5.42578125" bestFit="1" customWidth="1"/>
    <col min="3" max="3" width="9" hidden="1" customWidth="1"/>
    <col min="4" max="4" width="16.140625" hidden="1" customWidth="1"/>
    <col min="5" max="5" width="9.85546875" bestFit="1" customWidth="1"/>
    <col min="6" max="7" width="15.140625" bestFit="1" customWidth="1"/>
    <col min="8" max="8" width="1.7109375" customWidth="1"/>
    <col min="9" max="9" width="4.5703125" customWidth="1"/>
    <col min="10" max="10" width="8" bestFit="1" customWidth="1"/>
    <col min="11" max="11" width="14" bestFit="1" customWidth="1"/>
    <col min="12" max="12" width="1.7109375" customWidth="1"/>
    <col min="13" max="13" width="12.85546875" bestFit="1" customWidth="1"/>
  </cols>
  <sheetData>
    <row r="1" spans="1:12" s="46" customFormat="1" ht="12" customHeight="1">
      <c r="A1" s="261"/>
      <c r="B1" s="595"/>
      <c r="C1" s="596"/>
      <c r="D1" s="596"/>
      <c r="E1" s="596"/>
      <c r="F1" s="596"/>
      <c r="G1" s="596"/>
      <c r="H1" s="261"/>
      <c r="I1" s="261"/>
      <c r="J1" s="596"/>
      <c r="K1" s="596"/>
      <c r="L1" s="261"/>
    </row>
    <row r="2" spans="1:12" ht="48" customHeight="1" thickBot="1">
      <c r="A2" s="263"/>
      <c r="B2" s="1324" t="s">
        <v>432</v>
      </c>
      <c r="C2" s="1324"/>
      <c r="D2" s="1324"/>
      <c r="E2" s="1324"/>
      <c r="F2" s="1324"/>
      <c r="G2" s="1324"/>
      <c r="H2" s="263"/>
      <c r="I2" s="263"/>
      <c r="J2" s="597"/>
      <c r="K2" s="597"/>
      <c r="L2" s="263"/>
    </row>
    <row r="3" spans="1:12" ht="18" customHeight="1" thickBot="1">
      <c r="A3" s="263"/>
      <c r="B3" s="1325" t="s">
        <v>256</v>
      </c>
      <c r="C3" s="1327" t="s">
        <v>4</v>
      </c>
      <c r="D3" s="1328"/>
      <c r="E3" s="1329" t="s">
        <v>305</v>
      </c>
      <c r="F3" s="1330"/>
      <c r="G3" s="1331"/>
      <c r="H3" s="263"/>
      <c r="I3" s="263"/>
      <c r="J3" s="597"/>
      <c r="K3" s="597"/>
      <c r="L3" s="263"/>
    </row>
    <row r="4" spans="1:12" ht="49.5" customHeight="1" thickBot="1">
      <c r="A4" s="263"/>
      <c r="B4" s="1326"/>
      <c r="C4" s="598" t="s">
        <v>192</v>
      </c>
      <c r="D4" s="599" t="s">
        <v>183</v>
      </c>
      <c r="E4" s="790" t="s">
        <v>499</v>
      </c>
      <c r="F4" s="790" t="s">
        <v>183</v>
      </c>
      <c r="G4" s="790" t="s">
        <v>184</v>
      </c>
      <c r="H4" s="263"/>
      <c r="I4" s="263"/>
      <c r="L4" s="263"/>
    </row>
    <row r="5" spans="1:12" ht="15" customHeight="1" thickBot="1">
      <c r="A5" s="263"/>
      <c r="B5" s="791">
        <v>1993</v>
      </c>
      <c r="C5" s="792">
        <v>289</v>
      </c>
      <c r="D5" s="792" t="s">
        <v>188</v>
      </c>
      <c r="E5" s="793">
        <v>222</v>
      </c>
      <c r="F5" s="794" t="s">
        <v>188</v>
      </c>
      <c r="G5" s="795">
        <v>69938.5</v>
      </c>
      <c r="H5" s="263"/>
      <c r="I5" s="263"/>
      <c r="L5" s="263"/>
    </row>
    <row r="6" spans="1:12" ht="15" customHeight="1" thickBot="1">
      <c r="A6" s="263"/>
      <c r="B6" s="431">
        <v>1994</v>
      </c>
      <c r="C6" s="600">
        <v>300</v>
      </c>
      <c r="D6" s="600" t="s">
        <v>188</v>
      </c>
      <c r="E6" s="492">
        <v>233</v>
      </c>
      <c r="F6" s="602" t="s">
        <v>188</v>
      </c>
      <c r="G6" s="601">
        <v>74028.5</v>
      </c>
      <c r="H6" s="263"/>
      <c r="I6" s="263"/>
      <c r="L6" s="263"/>
    </row>
    <row r="7" spans="1:12" ht="15" customHeight="1" thickBot="1">
      <c r="A7" s="263"/>
      <c r="B7" s="791">
        <v>1995</v>
      </c>
      <c r="C7" s="792">
        <v>356</v>
      </c>
      <c r="D7" s="792">
        <v>99377.8</v>
      </c>
      <c r="E7" s="793">
        <v>287</v>
      </c>
      <c r="F7" s="794">
        <v>99377.8</v>
      </c>
      <c r="G7" s="795">
        <v>76617.5</v>
      </c>
      <c r="H7" s="263"/>
      <c r="I7" s="263"/>
      <c r="L7" s="263"/>
    </row>
    <row r="8" spans="1:12" ht="15" customHeight="1" thickBot="1">
      <c r="A8" s="263"/>
      <c r="B8" s="431">
        <v>1996</v>
      </c>
      <c r="C8" s="600">
        <v>312</v>
      </c>
      <c r="D8" s="600" t="s">
        <v>188</v>
      </c>
      <c r="E8" s="492">
        <v>257</v>
      </c>
      <c r="F8" s="602" t="s">
        <v>188</v>
      </c>
      <c r="G8" s="601">
        <v>72337.5</v>
      </c>
      <c r="H8" s="263"/>
      <c r="I8" s="263"/>
      <c r="L8" s="263"/>
    </row>
    <row r="9" spans="1:12" ht="15" customHeight="1" thickBot="1">
      <c r="A9" s="263"/>
      <c r="B9" s="791">
        <v>1997</v>
      </c>
      <c r="C9" s="792">
        <v>315</v>
      </c>
      <c r="D9" s="792" t="s">
        <v>188</v>
      </c>
      <c r="E9" s="793">
        <v>260</v>
      </c>
      <c r="F9" s="794" t="s">
        <v>188</v>
      </c>
      <c r="G9" s="795">
        <v>74422.5</v>
      </c>
      <c r="H9" s="263"/>
      <c r="I9" s="263"/>
      <c r="L9" s="263"/>
    </row>
    <row r="10" spans="1:12" ht="15" customHeight="1" thickBot="1">
      <c r="A10" s="263"/>
      <c r="B10" s="431">
        <v>1998</v>
      </c>
      <c r="C10" s="600">
        <v>372</v>
      </c>
      <c r="D10" s="600">
        <v>109813.51</v>
      </c>
      <c r="E10" s="492">
        <v>295</v>
      </c>
      <c r="F10" s="602">
        <v>109813.51</v>
      </c>
      <c r="G10" s="601">
        <v>76841.97</v>
      </c>
      <c r="H10" s="263"/>
      <c r="I10" s="263"/>
      <c r="L10" s="263"/>
    </row>
    <row r="11" spans="1:12" ht="15" customHeight="1" thickBot="1">
      <c r="A11" s="263"/>
      <c r="B11" s="791">
        <v>1999</v>
      </c>
      <c r="C11" s="792">
        <v>390</v>
      </c>
      <c r="D11" s="792">
        <v>109981.78</v>
      </c>
      <c r="E11" s="793">
        <v>324</v>
      </c>
      <c r="F11" s="794">
        <v>109981.78</v>
      </c>
      <c r="G11" s="795">
        <v>78157.009999999995</v>
      </c>
      <c r="H11" s="263"/>
      <c r="I11" s="263"/>
      <c r="L11" s="263"/>
    </row>
    <row r="12" spans="1:12" ht="15" customHeight="1" thickBot="1">
      <c r="A12" s="263"/>
      <c r="B12" s="431">
        <v>2000</v>
      </c>
      <c r="C12" s="600">
        <v>401</v>
      </c>
      <c r="D12" s="600">
        <v>110118.28</v>
      </c>
      <c r="E12" s="492">
        <v>336</v>
      </c>
      <c r="F12" s="602">
        <v>110118.28</v>
      </c>
      <c r="G12" s="601">
        <v>78319.009900000005</v>
      </c>
      <c r="H12" s="263"/>
      <c r="I12" s="263"/>
      <c r="L12" s="263"/>
    </row>
    <row r="13" spans="1:12" ht="15" customHeight="1" thickBot="1">
      <c r="A13" s="263"/>
      <c r="B13" s="791">
        <v>2001</v>
      </c>
      <c r="C13" s="792">
        <v>454</v>
      </c>
      <c r="D13" s="792">
        <v>117783.23</v>
      </c>
      <c r="E13" s="793">
        <v>400</v>
      </c>
      <c r="F13" s="794">
        <v>117783.23</v>
      </c>
      <c r="G13" s="795">
        <v>84878.94</v>
      </c>
      <c r="H13" s="263"/>
      <c r="I13" s="263"/>
      <c r="L13" s="263"/>
    </row>
    <row r="14" spans="1:12" ht="15" customHeight="1" thickBot="1">
      <c r="A14" s="263"/>
      <c r="B14" s="431">
        <v>2002</v>
      </c>
      <c r="C14" s="600">
        <v>493</v>
      </c>
      <c r="D14" s="600">
        <v>125044.82</v>
      </c>
      <c r="E14" s="492">
        <v>439</v>
      </c>
      <c r="F14" s="602">
        <v>125044.82</v>
      </c>
      <c r="G14" s="601">
        <v>81796.59</v>
      </c>
      <c r="H14" s="263"/>
      <c r="I14" s="263"/>
      <c r="L14" s="263"/>
    </row>
    <row r="15" spans="1:12" ht="15" customHeight="1" thickBot="1">
      <c r="A15" s="263"/>
      <c r="B15" s="791">
        <v>2003</v>
      </c>
      <c r="C15" s="792">
        <v>526</v>
      </c>
      <c r="D15" s="792">
        <v>127297.42</v>
      </c>
      <c r="E15" s="793">
        <v>465</v>
      </c>
      <c r="F15" s="794">
        <v>127297.42</v>
      </c>
      <c r="G15" s="795">
        <v>83660</v>
      </c>
      <c r="H15" s="263"/>
      <c r="I15" s="263"/>
      <c r="L15" s="263"/>
    </row>
    <row r="16" spans="1:12" ht="15" customHeight="1" thickBot="1">
      <c r="A16" s="263"/>
      <c r="B16" s="431">
        <v>2004</v>
      </c>
      <c r="C16" s="600">
        <v>547</v>
      </c>
      <c r="D16" s="600">
        <v>128799.05</v>
      </c>
      <c r="E16" s="492">
        <v>482</v>
      </c>
      <c r="F16" s="602">
        <v>128799.05</v>
      </c>
      <c r="G16" s="601">
        <v>85605.8</v>
      </c>
      <c r="H16" s="263"/>
      <c r="I16" s="263"/>
      <c r="L16" s="263"/>
    </row>
    <row r="17" spans="1:12" ht="15" customHeight="1" thickBot="1">
      <c r="A17" s="263"/>
      <c r="B17" s="791">
        <v>2005</v>
      </c>
      <c r="C17" s="792">
        <v>559</v>
      </c>
      <c r="D17" s="792">
        <v>125585.16</v>
      </c>
      <c r="E17" s="793">
        <v>488</v>
      </c>
      <c r="F17" s="794">
        <v>121758.41</v>
      </c>
      <c r="G17" s="795">
        <v>87052.32</v>
      </c>
      <c r="H17" s="263"/>
      <c r="I17" s="263"/>
      <c r="L17" s="263"/>
    </row>
    <row r="18" spans="1:12" ht="15" customHeight="1" thickBot="1">
      <c r="A18" s="263"/>
      <c r="B18" s="431">
        <v>2006</v>
      </c>
      <c r="C18" s="600">
        <v>561</v>
      </c>
      <c r="D18" s="600"/>
      <c r="E18" s="492">
        <v>491</v>
      </c>
      <c r="F18" s="602">
        <v>118137.7</v>
      </c>
      <c r="G18" s="601">
        <v>85399</v>
      </c>
      <c r="H18" s="263"/>
      <c r="I18" s="263"/>
    </row>
    <row r="19" spans="1:12" ht="15" customHeight="1" thickBot="1">
      <c r="A19" s="263"/>
      <c r="B19" s="791">
        <v>2007</v>
      </c>
      <c r="C19" s="792">
        <v>621</v>
      </c>
      <c r="D19" s="792"/>
      <c r="E19" s="793">
        <v>541</v>
      </c>
      <c r="F19" s="794">
        <v>126491.95000000001</v>
      </c>
      <c r="G19" s="795">
        <v>86393.150000000009</v>
      </c>
      <c r="H19" s="263"/>
      <c r="I19" s="263"/>
    </row>
    <row r="20" spans="1:12" ht="15" customHeight="1" thickBot="1">
      <c r="A20" s="263"/>
      <c r="B20" s="431">
        <v>2008</v>
      </c>
      <c r="C20" s="600"/>
      <c r="D20" s="600"/>
      <c r="E20" s="492">
        <v>604</v>
      </c>
      <c r="F20" s="602">
        <v>130877.77</v>
      </c>
      <c r="G20" s="601">
        <v>87310.01</v>
      </c>
      <c r="H20" s="263"/>
      <c r="I20" s="263"/>
    </row>
    <row r="21" spans="1:12" ht="15" customHeight="1" thickBot="1">
      <c r="A21" s="263"/>
      <c r="B21" s="796">
        <v>2009</v>
      </c>
      <c r="C21" s="797">
        <v>683</v>
      </c>
      <c r="D21" s="798"/>
      <c r="E21" s="799">
        <v>631</v>
      </c>
      <c r="F21" s="800">
        <v>133090.53999999998</v>
      </c>
      <c r="G21" s="801">
        <v>90040.249999999985</v>
      </c>
      <c r="H21" s="263"/>
      <c r="I21" s="263"/>
    </row>
    <row r="22" spans="1:12" ht="11.25" customHeight="1">
      <c r="A22" s="263"/>
      <c r="B22" s="1185" t="s">
        <v>433</v>
      </c>
      <c r="C22" s="1185"/>
      <c r="D22" s="1185"/>
      <c r="E22" s="1185"/>
      <c r="F22" s="1185"/>
      <c r="G22" s="1185"/>
      <c r="H22" s="603"/>
      <c r="I22" s="603"/>
    </row>
    <row r="23" spans="1:12" ht="11.25" customHeight="1">
      <c r="A23" s="263"/>
      <c r="B23" s="1332" t="s">
        <v>306</v>
      </c>
      <c r="C23" s="1332"/>
      <c r="D23" s="1332"/>
      <c r="E23" s="1332"/>
      <c r="F23" s="1332"/>
      <c r="G23" s="1332"/>
      <c r="H23" s="603"/>
      <c r="I23" s="603"/>
      <c r="J23" s="603"/>
      <c r="K23" s="603"/>
      <c r="L23" s="263"/>
    </row>
    <row r="24" spans="1:12">
      <c r="A24" s="263"/>
      <c r="B24" s="603"/>
      <c r="C24" s="603"/>
      <c r="D24" s="603"/>
      <c r="E24" s="603"/>
      <c r="F24" s="603"/>
      <c r="G24" s="603"/>
      <c r="H24" s="603"/>
      <c r="I24" s="603"/>
      <c r="J24" s="603"/>
      <c r="K24" s="603"/>
      <c r="L24" s="263"/>
    </row>
    <row r="25" spans="1:12" ht="13.5">
      <c r="B25" s="10"/>
      <c r="C25" s="10"/>
      <c r="D25" s="10"/>
      <c r="E25" s="10"/>
      <c r="F25" s="10"/>
      <c r="G25" s="10"/>
      <c r="H25" s="7"/>
      <c r="I25" s="7"/>
      <c r="J25" s="10"/>
      <c r="K25" s="10"/>
      <c r="L25" s="7"/>
    </row>
    <row r="26" spans="1:12" ht="24.75" customHeight="1">
      <c r="B26" s="1323"/>
      <c r="C26" s="1323"/>
      <c r="D26" s="1323"/>
      <c r="E26" s="1323"/>
      <c r="F26" s="1323"/>
      <c r="G26" s="1323"/>
    </row>
    <row r="31" spans="1:12">
      <c r="B31" s="237"/>
    </row>
    <row r="34" spans="2:2">
      <c r="B34" s="235"/>
    </row>
    <row r="42" spans="2:2">
      <c r="B42" s="235"/>
    </row>
    <row r="49" spans="2:2">
      <c r="B49" s="242"/>
    </row>
  </sheetData>
  <sheetProtection password="CF4C" sheet="1" objects="1" scenarios="1"/>
  <mergeCells count="7">
    <mergeCell ref="B26:G26"/>
    <mergeCell ref="B2:G2"/>
    <mergeCell ref="B3:B4"/>
    <mergeCell ref="C3:D3"/>
    <mergeCell ref="E3:G3"/>
    <mergeCell ref="B22:G22"/>
    <mergeCell ref="B23:G23"/>
  </mergeCells>
  <printOptions horizontalCentered="1"/>
  <pageMargins left="0.19685039370078741" right="0.19685039370078741" top="0.59055118110236227" bottom="0.59055118110236227" header="0.39370078740157483" footer="0.39370078740157483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51" enableFormatConditionsCalculation="0">
    <tabColor rgb="FF00B0F0"/>
    <pageSetUpPr fitToPage="1"/>
  </sheetPr>
  <dimension ref="A1:K46"/>
  <sheetViews>
    <sheetView showGridLines="0" zoomScaleNormal="100" workbookViewId="0">
      <selection activeCell="E37" sqref="E37"/>
    </sheetView>
  </sheetViews>
  <sheetFormatPr baseColWidth="10" defaultRowHeight="12.75"/>
  <cols>
    <col min="1" max="1" width="1.7109375" customWidth="1"/>
    <col min="2" max="2" width="26.7109375" customWidth="1"/>
    <col min="3" max="3" width="10.7109375" customWidth="1"/>
    <col min="4" max="5" width="14.7109375" customWidth="1"/>
    <col min="6" max="6" width="1.7109375" customWidth="1"/>
    <col min="8" max="8" width="7.7109375" customWidth="1"/>
    <col min="9" max="9" width="12.7109375" customWidth="1"/>
    <col min="10" max="10" width="7.7109375" customWidth="1"/>
    <col min="11" max="11" width="12.7109375" customWidth="1"/>
  </cols>
  <sheetData>
    <row r="1" spans="1:11" s="46" customFormat="1" ht="12" customHeight="1">
      <c r="A1" s="261"/>
      <c r="B1" s="259"/>
      <c r="C1" s="260"/>
      <c r="D1" s="260"/>
      <c r="E1" s="260"/>
      <c r="F1" s="261"/>
      <c r="H1" s="45"/>
      <c r="I1" s="45"/>
      <c r="J1" s="45"/>
      <c r="K1" s="45"/>
    </row>
    <row r="2" spans="1:11" ht="39" customHeight="1" thickBot="1">
      <c r="A2" s="263"/>
      <c r="B2" s="1324" t="s">
        <v>267</v>
      </c>
      <c r="C2" s="1324"/>
      <c r="D2" s="1324"/>
      <c r="E2" s="1324"/>
      <c r="F2" s="263"/>
    </row>
    <row r="3" spans="1:11" ht="18" customHeight="1" thickBot="1">
      <c r="A3" s="263"/>
      <c r="B3" s="1336" t="s">
        <v>230</v>
      </c>
      <c r="C3" s="1333" t="s">
        <v>305</v>
      </c>
      <c r="D3" s="1334"/>
      <c r="E3" s="1335"/>
      <c r="F3" s="263"/>
    </row>
    <row r="4" spans="1:11" ht="49.5" customHeight="1" thickBot="1">
      <c r="A4" s="263"/>
      <c r="B4" s="1337"/>
      <c r="C4" s="802" t="s">
        <v>499</v>
      </c>
      <c r="D4" s="802" t="s">
        <v>183</v>
      </c>
      <c r="E4" s="802" t="s">
        <v>184</v>
      </c>
      <c r="F4" s="263"/>
    </row>
    <row r="5" spans="1:11" ht="15.95" customHeight="1" thickBot="1">
      <c r="A5" s="263"/>
      <c r="B5" s="805" t="s">
        <v>6</v>
      </c>
      <c r="C5" s="793">
        <v>3</v>
      </c>
      <c r="D5" s="806">
        <v>44</v>
      </c>
      <c r="E5" s="806">
        <v>26</v>
      </c>
      <c r="F5" s="263"/>
    </row>
    <row r="6" spans="1:11" ht="15.95" customHeight="1" thickBot="1">
      <c r="A6" s="263"/>
      <c r="B6" s="433" t="s">
        <v>7</v>
      </c>
      <c r="C6" s="492">
        <v>26</v>
      </c>
      <c r="D6" s="493">
        <v>12006</v>
      </c>
      <c r="E6" s="493">
        <v>6448</v>
      </c>
      <c r="F6" s="263"/>
      <c r="K6">
        <v>6</v>
      </c>
    </row>
    <row r="7" spans="1:11" ht="15.95" customHeight="1" thickBot="1">
      <c r="A7" s="263"/>
      <c r="B7" s="805" t="s">
        <v>8</v>
      </c>
      <c r="C7" s="793">
        <v>15</v>
      </c>
      <c r="D7" s="806">
        <v>215.1</v>
      </c>
      <c r="E7" s="806">
        <v>215.06</v>
      </c>
      <c r="F7" s="263"/>
    </row>
    <row r="8" spans="1:11" ht="15.95" customHeight="1" thickBot="1">
      <c r="A8" s="263"/>
      <c r="B8" s="433" t="s">
        <v>9</v>
      </c>
      <c r="C8" s="492">
        <v>2</v>
      </c>
      <c r="D8" s="493">
        <v>25</v>
      </c>
      <c r="E8" s="493">
        <v>23</v>
      </c>
      <c r="F8" s="263"/>
    </row>
    <row r="9" spans="1:11" ht="15.95" customHeight="1" thickBot="1">
      <c r="A9" s="263"/>
      <c r="B9" s="805" t="s">
        <v>12</v>
      </c>
      <c r="C9" s="793">
        <v>4</v>
      </c>
      <c r="D9" s="806">
        <v>4500</v>
      </c>
      <c r="E9" s="806">
        <v>2510</v>
      </c>
      <c r="F9" s="263"/>
    </row>
    <row r="10" spans="1:11" ht="15.95" customHeight="1" thickBot="1">
      <c r="A10" s="263"/>
      <c r="B10" s="433" t="s">
        <v>13</v>
      </c>
      <c r="C10" s="492">
        <v>5</v>
      </c>
      <c r="D10" s="493">
        <v>710</v>
      </c>
      <c r="E10" s="493">
        <v>420</v>
      </c>
      <c r="F10" s="263"/>
    </row>
    <row r="11" spans="1:11" ht="15.95" customHeight="1" thickBot="1">
      <c r="A11" s="263"/>
      <c r="B11" s="805" t="s">
        <v>223</v>
      </c>
      <c r="C11" s="793">
        <v>18</v>
      </c>
      <c r="D11" s="806">
        <v>2132.19</v>
      </c>
      <c r="E11" s="806">
        <v>1707.2</v>
      </c>
      <c r="F11" s="263"/>
    </row>
    <row r="12" spans="1:11" ht="15.95" customHeight="1" thickBot="1">
      <c r="A12" s="263"/>
      <c r="B12" s="433" t="s">
        <v>11</v>
      </c>
      <c r="C12" s="492">
        <v>33</v>
      </c>
      <c r="D12" s="493">
        <v>10.74</v>
      </c>
      <c r="E12" s="493">
        <v>4.72</v>
      </c>
      <c r="F12" s="263"/>
    </row>
    <row r="13" spans="1:11" ht="15.95" customHeight="1" thickBot="1">
      <c r="A13" s="263"/>
      <c r="B13" s="805" t="s">
        <v>14</v>
      </c>
      <c r="C13" s="793">
        <v>38</v>
      </c>
      <c r="D13" s="806">
        <v>3788.5</v>
      </c>
      <c r="E13" s="806">
        <v>2935</v>
      </c>
      <c r="F13" s="263"/>
    </row>
    <row r="14" spans="1:11" ht="15.95" customHeight="1" thickBot="1">
      <c r="A14" s="263"/>
      <c r="B14" s="433" t="s">
        <v>15</v>
      </c>
      <c r="C14" s="492">
        <v>33</v>
      </c>
      <c r="D14" s="493">
        <v>29.66</v>
      </c>
      <c r="E14" s="493">
        <v>21.8</v>
      </c>
      <c r="F14" s="263"/>
    </row>
    <row r="15" spans="1:11" ht="15.95" customHeight="1" thickBot="1">
      <c r="A15" s="263"/>
      <c r="B15" s="805" t="s">
        <v>16</v>
      </c>
      <c r="C15" s="793">
        <v>28</v>
      </c>
      <c r="D15" s="806">
        <v>404.84</v>
      </c>
      <c r="E15" s="806">
        <v>342.54</v>
      </c>
      <c r="F15" s="263"/>
    </row>
    <row r="16" spans="1:11" ht="15.95" customHeight="1" thickBot="1">
      <c r="A16" s="263"/>
      <c r="B16" s="433" t="s">
        <v>17</v>
      </c>
      <c r="C16" s="492">
        <v>11</v>
      </c>
      <c r="D16" s="493">
        <v>3278</v>
      </c>
      <c r="E16" s="493">
        <v>2973</v>
      </c>
      <c r="F16" s="263"/>
    </row>
    <row r="17" spans="1:6" ht="15.95" customHeight="1" thickBot="1">
      <c r="A17" s="263"/>
      <c r="B17" s="805" t="s">
        <v>18</v>
      </c>
      <c r="C17" s="793">
        <v>2</v>
      </c>
      <c r="D17" s="806">
        <v>130</v>
      </c>
      <c r="E17" s="806">
        <v>130</v>
      </c>
      <c r="F17" s="263"/>
    </row>
    <row r="18" spans="1:6" ht="15.95" customHeight="1" thickBot="1">
      <c r="A18" s="263"/>
      <c r="B18" s="433" t="s">
        <v>19</v>
      </c>
      <c r="C18" s="492">
        <v>24</v>
      </c>
      <c r="D18" s="493">
        <v>16197</v>
      </c>
      <c r="E18" s="493">
        <v>9490</v>
      </c>
      <c r="F18" s="263"/>
    </row>
    <row r="19" spans="1:6" ht="15.95" customHeight="1" thickBot="1">
      <c r="A19" s="263"/>
      <c r="B19" s="805" t="s">
        <v>20</v>
      </c>
      <c r="C19" s="793">
        <v>11</v>
      </c>
      <c r="D19" s="806">
        <v>22164</v>
      </c>
      <c r="E19" s="806">
        <v>16739</v>
      </c>
      <c r="F19" s="263"/>
    </row>
    <row r="20" spans="1:6" ht="15.95" customHeight="1" thickBot="1">
      <c r="A20" s="263"/>
      <c r="B20" s="433" t="s">
        <v>224</v>
      </c>
      <c r="C20" s="492">
        <v>5</v>
      </c>
      <c r="D20" s="493">
        <v>3025</v>
      </c>
      <c r="E20" s="493">
        <v>2495</v>
      </c>
      <c r="F20" s="263"/>
    </row>
    <row r="21" spans="1:6" ht="15.95" customHeight="1" thickBot="1">
      <c r="A21" s="263"/>
      <c r="B21" s="805" t="s">
        <v>22</v>
      </c>
      <c r="C21" s="793">
        <v>0</v>
      </c>
      <c r="D21" s="806">
        <v>0</v>
      </c>
      <c r="E21" s="806">
        <v>0</v>
      </c>
      <c r="F21" s="263"/>
    </row>
    <row r="22" spans="1:6" ht="15.95" customHeight="1" thickBot="1">
      <c r="A22" s="263"/>
      <c r="B22" s="433" t="s">
        <v>23</v>
      </c>
      <c r="C22" s="492">
        <v>0</v>
      </c>
      <c r="D22" s="493">
        <v>0</v>
      </c>
      <c r="E22" s="493">
        <v>0</v>
      </c>
      <c r="F22" s="263"/>
    </row>
    <row r="23" spans="1:6" ht="15.95" customHeight="1" thickBot="1">
      <c r="A23" s="263"/>
      <c r="B23" s="805" t="s">
        <v>24</v>
      </c>
      <c r="C23" s="793">
        <v>12</v>
      </c>
      <c r="D23" s="806">
        <v>14571.2</v>
      </c>
      <c r="E23" s="806">
        <v>7251.2</v>
      </c>
      <c r="F23" s="263"/>
    </row>
    <row r="24" spans="1:6" ht="15.95" customHeight="1" thickBot="1">
      <c r="A24" s="263"/>
      <c r="B24" s="433" t="s">
        <v>25</v>
      </c>
      <c r="C24" s="492">
        <v>6</v>
      </c>
      <c r="D24" s="493">
        <v>1291.3</v>
      </c>
      <c r="E24" s="493">
        <v>771.3</v>
      </c>
      <c r="F24" s="263"/>
    </row>
    <row r="25" spans="1:6" ht="15.95" customHeight="1" thickBot="1">
      <c r="A25" s="263"/>
      <c r="B25" s="805" t="s">
        <v>36</v>
      </c>
      <c r="C25" s="793">
        <v>4</v>
      </c>
      <c r="D25" s="806">
        <v>715</v>
      </c>
      <c r="E25" s="806">
        <v>545</v>
      </c>
      <c r="F25" s="263"/>
    </row>
    <row r="26" spans="1:6" ht="15.95" customHeight="1" thickBot="1">
      <c r="A26" s="263"/>
      <c r="B26" s="433" t="s">
        <v>225</v>
      </c>
      <c r="C26" s="492">
        <v>6</v>
      </c>
      <c r="D26" s="493">
        <v>269</v>
      </c>
      <c r="E26" s="493">
        <v>212</v>
      </c>
      <c r="F26" s="263"/>
    </row>
    <row r="27" spans="1:6" ht="15.95" customHeight="1" thickBot="1">
      <c r="A27" s="263"/>
      <c r="B27" s="805" t="s">
        <v>27</v>
      </c>
      <c r="C27" s="793">
        <v>0</v>
      </c>
      <c r="D27" s="806">
        <v>0</v>
      </c>
      <c r="E27" s="806">
        <v>0</v>
      </c>
      <c r="F27" s="263"/>
    </row>
    <row r="28" spans="1:6" ht="15.95" customHeight="1" thickBot="1">
      <c r="A28" s="263"/>
      <c r="B28" s="433" t="s">
        <v>28</v>
      </c>
      <c r="C28" s="492">
        <v>14</v>
      </c>
      <c r="D28" s="493">
        <v>1314.95</v>
      </c>
      <c r="E28" s="493">
        <v>957.1</v>
      </c>
      <c r="F28" s="263"/>
    </row>
    <row r="29" spans="1:6" ht="15.95" customHeight="1" thickBot="1">
      <c r="A29" s="263"/>
      <c r="B29" s="805" t="s">
        <v>29</v>
      </c>
      <c r="C29" s="793">
        <v>142</v>
      </c>
      <c r="D29" s="806">
        <v>9267</v>
      </c>
      <c r="E29" s="806">
        <v>7743.6</v>
      </c>
      <c r="F29" s="263"/>
    </row>
    <row r="30" spans="1:6" ht="15.95" customHeight="1" thickBot="1">
      <c r="A30" s="263"/>
      <c r="B30" s="433" t="s">
        <v>37</v>
      </c>
      <c r="C30" s="492">
        <v>24</v>
      </c>
      <c r="D30" s="493">
        <v>4130</v>
      </c>
      <c r="E30" s="493">
        <v>2138.2199999999998</v>
      </c>
      <c r="F30" s="263"/>
    </row>
    <row r="31" spans="1:6" ht="15.95" customHeight="1" thickBot="1">
      <c r="A31" s="263"/>
      <c r="B31" s="805" t="s">
        <v>30</v>
      </c>
      <c r="C31" s="793">
        <v>44</v>
      </c>
      <c r="D31" s="806">
        <v>11605</v>
      </c>
      <c r="E31" s="806">
        <v>8100</v>
      </c>
      <c r="F31" s="263"/>
    </row>
    <row r="32" spans="1:6" ht="15.95" customHeight="1" thickBot="1">
      <c r="A32" s="263"/>
      <c r="B32" s="433" t="s">
        <v>31</v>
      </c>
      <c r="C32" s="492">
        <v>54</v>
      </c>
      <c r="D32" s="493">
        <v>14345</v>
      </c>
      <c r="E32" s="493">
        <v>11438</v>
      </c>
      <c r="F32" s="263"/>
    </row>
    <row r="33" spans="1:11" ht="15.95" customHeight="1" thickBot="1">
      <c r="A33" s="263"/>
      <c r="B33" s="805" t="s">
        <v>32</v>
      </c>
      <c r="C33" s="793">
        <v>0</v>
      </c>
      <c r="D33" s="806">
        <v>0</v>
      </c>
      <c r="E33" s="806">
        <v>0</v>
      </c>
      <c r="F33" s="263"/>
    </row>
    <row r="34" spans="1:11" ht="15.95" customHeight="1" thickBot="1">
      <c r="A34" s="263"/>
      <c r="B34" s="433" t="s">
        <v>262</v>
      </c>
      <c r="C34" s="492">
        <v>13</v>
      </c>
      <c r="D34" s="493">
        <v>6912</v>
      </c>
      <c r="E34" s="493">
        <v>4393.7</v>
      </c>
      <c r="F34" s="263"/>
    </row>
    <row r="35" spans="1:11" ht="15.95" customHeight="1" thickBot="1">
      <c r="A35" s="263"/>
      <c r="B35" s="805" t="s">
        <v>34</v>
      </c>
      <c r="C35" s="793">
        <v>0</v>
      </c>
      <c r="D35" s="806">
        <v>0</v>
      </c>
      <c r="E35" s="806">
        <v>0</v>
      </c>
      <c r="F35" s="263"/>
    </row>
    <row r="36" spans="1:11" ht="18.75" customHeight="1" thickBot="1">
      <c r="A36" s="263"/>
      <c r="B36" s="433" t="s">
        <v>35</v>
      </c>
      <c r="C36" s="492">
        <v>54</v>
      </c>
      <c r="D36" s="493">
        <v>10.06</v>
      </c>
      <c r="E36" s="493">
        <v>9.81</v>
      </c>
      <c r="F36" s="263"/>
    </row>
    <row r="37" spans="1:11" ht="18" customHeight="1" thickBot="1">
      <c r="A37" s="263"/>
      <c r="B37" s="807" t="s">
        <v>52</v>
      </c>
      <c r="C37" s="808">
        <v>631</v>
      </c>
      <c r="D37" s="800">
        <v>133090.53999999998</v>
      </c>
      <c r="E37" s="800">
        <v>90040.249999999985</v>
      </c>
      <c r="F37" s="263"/>
      <c r="G37" s="137"/>
    </row>
    <row r="38" spans="1:11" ht="15" customHeight="1">
      <c r="A38" s="263"/>
      <c r="B38" s="1338" t="s">
        <v>306</v>
      </c>
      <c r="C38" s="1338"/>
      <c r="D38" s="1338"/>
      <c r="E38" s="1338"/>
      <c r="F38" s="956"/>
      <c r="G38" s="956"/>
      <c r="H38" s="187"/>
      <c r="I38" s="187"/>
      <c r="J38" s="187"/>
      <c r="K38" s="187"/>
    </row>
    <row r="39" spans="1:11" ht="9" customHeight="1">
      <c r="A39" s="263"/>
      <c r="B39" s="299"/>
      <c r="C39" s="273"/>
      <c r="D39" s="273"/>
      <c r="E39" s="273"/>
      <c r="F39" s="263"/>
      <c r="H39" s="10"/>
      <c r="I39" s="10"/>
      <c r="J39" s="10"/>
      <c r="K39" s="10"/>
    </row>
    <row r="46" spans="1:11">
      <c r="B46" s="242"/>
    </row>
  </sheetData>
  <sheetProtection password="CF4C" sheet="1" objects="1" scenarios="1"/>
  <customSheetViews>
    <customSheetView guid="{E9B43C8C-734F-433D-AD37-344F9303B5CC}" showPageBreaks="1" showGridLines="0" showRuler="0">
      <pane ySplit="14.80952380952381" topLeftCell="A33"/>
      <selection activeCell="F39" sqref="F39"/>
      <pageMargins left="0.19685039370078741" right="0.19685039370078741" top="0.39370078740157483" bottom="0.39370078740157483" header="0.39370078740157483" footer="0.39370078740157483"/>
      <printOptions horizontalCentered="1"/>
      <pageSetup scale="85" orientation="landscape" r:id="rId1"/>
      <headerFooter alignWithMargins="0"/>
    </customSheetView>
    <customSheetView guid="{9BF398E0-33D8-4E64-94A2-9B7C822C8383}" showPageBreaks="1" showGridLines="0" printArea="1" showRuler="0">
      <pane ySplit="14.80952380952381" topLeftCell="A33"/>
      <pageMargins left="0.19685039370078741" right="0.19685039370078741" top="0.39370078740157483" bottom="0.39370078740157483" header="0.39370078740157483" footer="0.39370078740157483"/>
      <printOptions horizontalCentered="1"/>
      <pageSetup scale="85" orientation="landscape" r:id="rId2"/>
      <headerFooter alignWithMargins="0"/>
    </customSheetView>
    <customSheetView guid="{9E220BD5-A526-40BD-8239-3A0461590922}" showPageBreaks="1" showGridLines="0" printArea="1" showRuler="0" topLeftCell="A16">
      <selection activeCell="G39" sqref="G39"/>
      <pageMargins left="0.19685039370078741" right="0.19685039370078741" top="0.39370078740157483" bottom="0.39370078740157483" header="0.39370078740157483" footer="0.39370078740157483"/>
      <printOptions horizontalCentered="1"/>
      <pageSetup scale="85" orientation="landscape" r:id="rId3"/>
      <headerFooter alignWithMargins="0"/>
    </customSheetView>
  </customSheetViews>
  <mergeCells count="4">
    <mergeCell ref="B2:E2"/>
    <mergeCell ref="C3:E3"/>
    <mergeCell ref="B3:B4"/>
    <mergeCell ref="B38:E38"/>
  </mergeCells>
  <phoneticPr fontId="9" type="noConversion"/>
  <printOptions horizontalCentered="1"/>
  <pageMargins left="0.19685039370078741" right="0.19685039370078741" top="0.9055118110236221" bottom="0.39370078740157483" header="0.70866141732283472" footer="0.19685039370078741"/>
  <pageSetup orientation="portrait" r:id="rId4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53" enableFormatConditionsCalculation="0">
    <tabColor rgb="FF00B0F0"/>
  </sheetPr>
  <dimension ref="A1:AI46"/>
  <sheetViews>
    <sheetView showGridLines="0" zoomScaleNormal="100" zoomScaleSheetLayoutView="50" workbookViewId="0">
      <selection activeCell="H37" sqref="H37"/>
    </sheetView>
  </sheetViews>
  <sheetFormatPr baseColWidth="10" defaultRowHeight="12.75"/>
  <cols>
    <col min="1" max="1" width="19.5703125" customWidth="1"/>
    <col min="2" max="2" width="4.28515625" customWidth="1"/>
    <col min="3" max="3" width="10" style="82" customWidth="1"/>
    <col min="4" max="4" width="4.7109375" customWidth="1"/>
    <col min="5" max="5" width="9.7109375" style="82" customWidth="1"/>
    <col min="6" max="6" width="5.28515625" customWidth="1"/>
    <col min="7" max="7" width="10.85546875" style="82" customWidth="1"/>
    <col min="8" max="8" width="5.7109375" customWidth="1"/>
    <col min="9" max="9" width="10.42578125" style="82" customWidth="1"/>
    <col min="10" max="10" width="4.5703125" customWidth="1"/>
    <col min="11" max="11" width="9.140625" style="82" customWidth="1"/>
    <col min="12" max="12" width="5.85546875" customWidth="1"/>
    <col min="13" max="13" width="11" style="82" customWidth="1"/>
    <col min="14" max="14" width="2" customWidth="1"/>
    <col min="15" max="15" width="11.42578125" hidden="1" customWidth="1"/>
    <col min="16" max="16" width="24.85546875" customWidth="1"/>
  </cols>
  <sheetData>
    <row r="1" spans="1:27" s="46" customFormat="1" ht="12" customHeight="1">
      <c r="A1" s="259"/>
      <c r="B1" s="260"/>
      <c r="C1" s="300"/>
      <c r="D1" s="260"/>
      <c r="E1" s="300"/>
      <c r="F1" s="260"/>
      <c r="G1" s="300"/>
      <c r="H1" s="260"/>
      <c r="I1" s="300"/>
      <c r="J1" s="260"/>
      <c r="K1" s="300"/>
      <c r="L1" s="260"/>
      <c r="M1" s="300"/>
      <c r="N1" s="260"/>
    </row>
    <row r="2" spans="1:27" ht="35.25" customHeight="1" thickBot="1">
      <c r="A2" s="1324" t="s">
        <v>434</v>
      </c>
      <c r="B2" s="1341"/>
      <c r="C2" s="1341"/>
      <c r="D2" s="1341"/>
      <c r="E2" s="1341"/>
      <c r="F2" s="1341"/>
      <c r="G2" s="1341"/>
      <c r="H2" s="1341"/>
      <c r="I2" s="1341"/>
      <c r="J2" s="1341"/>
      <c r="K2" s="1341"/>
      <c r="L2" s="1341"/>
      <c r="M2" s="1341"/>
      <c r="N2" s="532"/>
      <c r="P2" s="1324" t="s">
        <v>435</v>
      </c>
      <c r="Q2" s="1341"/>
      <c r="R2" s="1341"/>
      <c r="S2" s="1341"/>
      <c r="T2" s="1341"/>
      <c r="U2" s="1341"/>
      <c r="V2" s="1341"/>
      <c r="W2" s="1341"/>
      <c r="X2" s="1341"/>
      <c r="Y2" s="532"/>
      <c r="Z2" s="532"/>
      <c r="AA2" s="532"/>
    </row>
    <row r="3" spans="1:27" ht="47.25" customHeight="1" thickBot="1">
      <c r="A3" s="1336" t="s">
        <v>230</v>
      </c>
      <c r="B3" s="1329" t="s">
        <v>313</v>
      </c>
      <c r="C3" s="1331"/>
      <c r="D3" s="1339" t="s">
        <v>314</v>
      </c>
      <c r="E3" s="1340"/>
      <c r="F3" s="1339" t="s">
        <v>315</v>
      </c>
      <c r="G3" s="1340"/>
      <c r="H3" s="1339" t="s">
        <v>316</v>
      </c>
      <c r="I3" s="1340"/>
      <c r="J3" s="1339" t="s">
        <v>317</v>
      </c>
      <c r="K3" s="1340"/>
      <c r="L3" s="1339" t="s">
        <v>318</v>
      </c>
      <c r="M3" s="1340"/>
      <c r="P3" s="1336" t="s">
        <v>230</v>
      </c>
      <c r="Q3" s="1339" t="s">
        <v>319</v>
      </c>
      <c r="R3" s="1340"/>
      <c r="S3" s="1339" t="s">
        <v>320</v>
      </c>
      <c r="T3" s="1340"/>
      <c r="U3" s="1339" t="s">
        <v>321</v>
      </c>
      <c r="V3" s="1340"/>
      <c r="W3" s="1339" t="s">
        <v>322</v>
      </c>
      <c r="X3" s="1340"/>
    </row>
    <row r="4" spans="1:27" ht="20.25" customHeight="1" thickBot="1">
      <c r="A4" s="1337"/>
      <c r="B4" s="790" t="s">
        <v>500</v>
      </c>
      <c r="C4" s="803" t="s">
        <v>123</v>
      </c>
      <c r="D4" s="790" t="s">
        <v>500</v>
      </c>
      <c r="E4" s="804" t="s">
        <v>123</v>
      </c>
      <c r="F4" s="790" t="s">
        <v>500</v>
      </c>
      <c r="G4" s="804" t="s">
        <v>123</v>
      </c>
      <c r="H4" s="790" t="s">
        <v>500</v>
      </c>
      <c r="I4" s="804" t="s">
        <v>123</v>
      </c>
      <c r="J4" s="790" t="s">
        <v>500</v>
      </c>
      <c r="K4" s="804" t="s">
        <v>123</v>
      </c>
      <c r="L4" s="790" t="s">
        <v>500</v>
      </c>
      <c r="M4" s="804" t="s">
        <v>123</v>
      </c>
      <c r="P4" s="1337"/>
      <c r="Q4" s="790" t="s">
        <v>500</v>
      </c>
      <c r="R4" s="804" t="s">
        <v>123</v>
      </c>
      <c r="S4" s="790" t="s">
        <v>500</v>
      </c>
      <c r="T4" s="804" t="s">
        <v>123</v>
      </c>
      <c r="U4" s="790" t="s">
        <v>500</v>
      </c>
      <c r="V4" s="804" t="s">
        <v>123</v>
      </c>
      <c r="W4" s="790" t="s">
        <v>500</v>
      </c>
      <c r="X4" s="804" t="s">
        <v>123</v>
      </c>
    </row>
    <row r="5" spans="1:27" ht="13.5" thickBot="1">
      <c r="A5" s="805" t="s">
        <v>6</v>
      </c>
      <c r="B5" s="809"/>
      <c r="C5" s="810"/>
      <c r="D5" s="809"/>
      <c r="E5" s="810"/>
      <c r="F5" s="809">
        <v>3</v>
      </c>
      <c r="G5" s="811">
        <v>26</v>
      </c>
      <c r="H5" s="809"/>
      <c r="I5" s="810"/>
      <c r="J5" s="809"/>
      <c r="K5" s="810"/>
      <c r="L5" s="809"/>
      <c r="M5" s="810"/>
      <c r="P5" s="805" t="s">
        <v>6</v>
      </c>
      <c r="Q5" s="809"/>
      <c r="R5" s="810"/>
      <c r="S5" s="809"/>
      <c r="T5" s="810"/>
      <c r="U5" s="809"/>
      <c r="V5" s="810"/>
      <c r="W5" s="809">
        <v>3</v>
      </c>
      <c r="X5" s="816">
        <v>26</v>
      </c>
    </row>
    <row r="6" spans="1:27" ht="13.5" thickBot="1">
      <c r="A6" s="433" t="s">
        <v>7</v>
      </c>
      <c r="B6" s="474"/>
      <c r="C6" s="477"/>
      <c r="D6" s="474"/>
      <c r="E6" s="477"/>
      <c r="F6" s="474">
        <v>9</v>
      </c>
      <c r="G6" s="478">
        <v>1479.3</v>
      </c>
      <c r="H6" s="474"/>
      <c r="I6" s="477"/>
      <c r="J6" s="474"/>
      <c r="K6" s="477"/>
      <c r="L6" s="474">
        <v>16</v>
      </c>
      <c r="M6" s="477">
        <v>4873.2</v>
      </c>
      <c r="P6" s="433" t="s">
        <v>7</v>
      </c>
      <c r="Q6" s="474"/>
      <c r="R6" s="477"/>
      <c r="S6" s="474"/>
      <c r="T6" s="477"/>
      <c r="U6" s="474">
        <v>1</v>
      </c>
      <c r="V6" s="477">
        <v>95.5</v>
      </c>
      <c r="W6" s="474">
        <v>26</v>
      </c>
      <c r="X6" s="473">
        <v>6448</v>
      </c>
    </row>
    <row r="7" spans="1:27" ht="13.5" customHeight="1" thickBot="1">
      <c r="A7" s="805" t="s">
        <v>8</v>
      </c>
      <c r="B7" s="809"/>
      <c r="C7" s="810"/>
      <c r="D7" s="809"/>
      <c r="E7" s="810"/>
      <c r="F7" s="809"/>
      <c r="G7" s="811"/>
      <c r="H7" s="809"/>
      <c r="I7" s="810"/>
      <c r="J7" s="809"/>
      <c r="K7" s="810"/>
      <c r="L7" s="809">
        <v>1</v>
      </c>
      <c r="M7" s="810">
        <v>5</v>
      </c>
      <c r="P7" s="805" t="s">
        <v>8</v>
      </c>
      <c r="Q7" s="809"/>
      <c r="R7" s="810"/>
      <c r="S7" s="809">
        <v>14</v>
      </c>
      <c r="T7" s="810">
        <v>210.06</v>
      </c>
      <c r="U7" s="809"/>
      <c r="V7" s="810"/>
      <c r="W7" s="809">
        <v>15</v>
      </c>
      <c r="X7" s="816">
        <v>215.06</v>
      </c>
    </row>
    <row r="8" spans="1:27" ht="13.5" thickBot="1">
      <c r="A8" s="433" t="s">
        <v>9</v>
      </c>
      <c r="B8" s="474"/>
      <c r="C8" s="477"/>
      <c r="D8" s="474"/>
      <c r="E8" s="477"/>
      <c r="F8" s="474">
        <v>2</v>
      </c>
      <c r="G8" s="478">
        <v>23</v>
      </c>
      <c r="H8" s="474"/>
      <c r="I8" s="477"/>
      <c r="J8" s="474"/>
      <c r="K8" s="477"/>
      <c r="L8" s="474"/>
      <c r="M8" s="477"/>
      <c r="P8" s="433" t="s">
        <v>9</v>
      </c>
      <c r="Q8" s="474"/>
      <c r="R8" s="477"/>
      <c r="S8" s="474"/>
      <c r="T8" s="477"/>
      <c r="U8" s="474"/>
      <c r="V8" s="477"/>
      <c r="W8" s="474">
        <v>2</v>
      </c>
      <c r="X8" s="473">
        <v>23</v>
      </c>
    </row>
    <row r="9" spans="1:27" ht="13.5" thickBot="1">
      <c r="A9" s="805" t="s">
        <v>12</v>
      </c>
      <c r="B9" s="809"/>
      <c r="C9" s="810"/>
      <c r="D9" s="809"/>
      <c r="E9" s="810"/>
      <c r="F9" s="809">
        <v>2</v>
      </c>
      <c r="G9" s="811">
        <v>1650</v>
      </c>
      <c r="H9" s="809">
        <v>2</v>
      </c>
      <c r="I9" s="810">
        <v>860</v>
      </c>
      <c r="J9" s="809"/>
      <c r="K9" s="810"/>
      <c r="L9" s="809"/>
      <c r="M9" s="810"/>
      <c r="P9" s="805" t="s">
        <v>12</v>
      </c>
      <c r="Q9" s="809"/>
      <c r="R9" s="810"/>
      <c r="S9" s="809"/>
      <c r="T9" s="810"/>
      <c r="U9" s="809"/>
      <c r="V9" s="810"/>
      <c r="W9" s="809">
        <v>4</v>
      </c>
      <c r="X9" s="816">
        <v>2510</v>
      </c>
    </row>
    <row r="10" spans="1:27" ht="13.5" thickBot="1">
      <c r="A10" s="433" t="s">
        <v>13</v>
      </c>
      <c r="B10" s="474">
        <v>1</v>
      </c>
      <c r="C10" s="477">
        <v>70</v>
      </c>
      <c r="D10" s="474"/>
      <c r="E10" s="477"/>
      <c r="F10" s="474"/>
      <c r="G10" s="478"/>
      <c r="H10" s="474">
        <v>2</v>
      </c>
      <c r="I10" s="477">
        <v>250</v>
      </c>
      <c r="J10" s="474"/>
      <c r="K10" s="477"/>
      <c r="L10" s="474"/>
      <c r="M10" s="477"/>
      <c r="P10" s="433" t="s">
        <v>13</v>
      </c>
      <c r="Q10" s="474"/>
      <c r="R10" s="477"/>
      <c r="S10" s="474">
        <v>1</v>
      </c>
      <c r="T10" s="477">
        <v>40</v>
      </c>
      <c r="U10" s="474">
        <v>1</v>
      </c>
      <c r="V10" s="477">
        <v>60</v>
      </c>
      <c r="W10" s="474">
        <v>5</v>
      </c>
      <c r="X10" s="473">
        <v>420</v>
      </c>
    </row>
    <row r="11" spans="1:27" ht="12.75" customHeight="1" thickBot="1">
      <c r="A11" s="805" t="s">
        <v>223</v>
      </c>
      <c r="B11" s="809"/>
      <c r="C11" s="810"/>
      <c r="D11" s="809"/>
      <c r="E11" s="810"/>
      <c r="F11" s="809">
        <v>6</v>
      </c>
      <c r="G11" s="811">
        <v>1606</v>
      </c>
      <c r="H11" s="809"/>
      <c r="I11" s="810"/>
      <c r="J11" s="809"/>
      <c r="K11" s="810"/>
      <c r="L11" s="809">
        <v>4</v>
      </c>
      <c r="M11" s="810">
        <v>99.6</v>
      </c>
      <c r="P11" s="805" t="s">
        <v>223</v>
      </c>
      <c r="Q11" s="809"/>
      <c r="R11" s="810"/>
      <c r="S11" s="809">
        <v>8</v>
      </c>
      <c r="T11" s="810">
        <v>1.6</v>
      </c>
      <c r="U11" s="809"/>
      <c r="V11" s="810"/>
      <c r="W11" s="809">
        <v>18</v>
      </c>
      <c r="X11" s="816">
        <v>1707.1999999999998</v>
      </c>
    </row>
    <row r="12" spans="1:27" ht="13.5" thickBot="1">
      <c r="A12" s="433" t="s">
        <v>11</v>
      </c>
      <c r="B12" s="474">
        <v>1</v>
      </c>
      <c r="C12" s="477">
        <v>1.4999999999999999E-2</v>
      </c>
      <c r="D12" s="474"/>
      <c r="E12" s="477"/>
      <c r="F12" s="474"/>
      <c r="G12" s="478"/>
      <c r="H12" s="474"/>
      <c r="I12" s="477"/>
      <c r="J12" s="474"/>
      <c r="K12" s="477"/>
      <c r="L12" s="474"/>
      <c r="M12" s="477"/>
      <c r="P12" s="433" t="s">
        <v>11</v>
      </c>
      <c r="Q12" s="474"/>
      <c r="R12" s="477"/>
      <c r="S12" s="474">
        <v>32</v>
      </c>
      <c r="T12" s="477">
        <v>4.7080000000000002</v>
      </c>
      <c r="U12" s="474"/>
      <c r="V12" s="477"/>
      <c r="W12" s="474">
        <v>33</v>
      </c>
      <c r="X12" s="473">
        <v>4.7229999999999999</v>
      </c>
    </row>
    <row r="13" spans="1:27" ht="13.5" thickBot="1">
      <c r="A13" s="805" t="s">
        <v>14</v>
      </c>
      <c r="B13" s="809"/>
      <c r="C13" s="810"/>
      <c r="D13" s="809">
        <v>14</v>
      </c>
      <c r="E13" s="810">
        <v>815</v>
      </c>
      <c r="F13" s="809">
        <v>1</v>
      </c>
      <c r="G13" s="811">
        <v>210</v>
      </c>
      <c r="H13" s="809"/>
      <c r="I13" s="810"/>
      <c r="J13" s="809">
        <v>1</v>
      </c>
      <c r="K13" s="810">
        <v>60</v>
      </c>
      <c r="L13" s="809">
        <v>8</v>
      </c>
      <c r="M13" s="810">
        <v>720</v>
      </c>
      <c r="P13" s="805" t="s">
        <v>14</v>
      </c>
      <c r="Q13" s="809">
        <v>1</v>
      </c>
      <c r="R13" s="810">
        <v>340</v>
      </c>
      <c r="S13" s="809">
        <v>11</v>
      </c>
      <c r="T13" s="810">
        <v>592</v>
      </c>
      <c r="U13" s="809">
        <v>2</v>
      </c>
      <c r="V13" s="810">
        <v>198</v>
      </c>
      <c r="W13" s="809">
        <v>38</v>
      </c>
      <c r="X13" s="816">
        <v>2935</v>
      </c>
    </row>
    <row r="14" spans="1:27" ht="13.5" thickBot="1">
      <c r="A14" s="433" t="s">
        <v>15</v>
      </c>
      <c r="B14" s="474"/>
      <c r="C14" s="477"/>
      <c r="D14" s="474"/>
      <c r="E14" s="477"/>
      <c r="F14" s="474"/>
      <c r="G14" s="478"/>
      <c r="H14" s="474"/>
      <c r="I14" s="477"/>
      <c r="J14" s="474"/>
      <c r="K14" s="477"/>
      <c r="L14" s="474">
        <v>2</v>
      </c>
      <c r="M14" s="477">
        <v>9.3000000000000007</v>
      </c>
      <c r="P14" s="433" t="s">
        <v>15</v>
      </c>
      <c r="Q14" s="474"/>
      <c r="R14" s="477"/>
      <c r="S14" s="474">
        <v>31</v>
      </c>
      <c r="T14" s="477">
        <v>12.5</v>
      </c>
      <c r="U14" s="474"/>
      <c r="V14" s="477"/>
      <c r="W14" s="474">
        <v>33</v>
      </c>
      <c r="X14" s="473">
        <v>21.8</v>
      </c>
    </row>
    <row r="15" spans="1:27" ht="13.5" thickBot="1">
      <c r="A15" s="805" t="s">
        <v>16</v>
      </c>
      <c r="B15" s="809">
        <v>8</v>
      </c>
      <c r="C15" s="810">
        <v>27.44</v>
      </c>
      <c r="D15" s="809"/>
      <c r="E15" s="810"/>
      <c r="F15" s="809">
        <v>3</v>
      </c>
      <c r="G15" s="811">
        <v>305</v>
      </c>
      <c r="H15" s="809"/>
      <c r="I15" s="810"/>
      <c r="J15" s="809"/>
      <c r="K15" s="810"/>
      <c r="L15" s="809"/>
      <c r="M15" s="810"/>
      <c r="P15" s="805" t="s">
        <v>16</v>
      </c>
      <c r="Q15" s="809">
        <v>4</v>
      </c>
      <c r="R15" s="810">
        <v>2.4</v>
      </c>
      <c r="S15" s="809">
        <v>13</v>
      </c>
      <c r="T15" s="810">
        <v>7.7</v>
      </c>
      <c r="U15" s="809"/>
      <c r="V15" s="810"/>
      <c r="W15" s="809">
        <v>28</v>
      </c>
      <c r="X15" s="816">
        <v>342.53999999999996</v>
      </c>
    </row>
    <row r="16" spans="1:27" ht="13.5" thickBot="1">
      <c r="A16" s="433" t="s">
        <v>17</v>
      </c>
      <c r="B16" s="474"/>
      <c r="C16" s="477"/>
      <c r="D16" s="474"/>
      <c r="E16" s="477"/>
      <c r="F16" s="474">
        <v>8</v>
      </c>
      <c r="G16" s="478">
        <v>2858</v>
      </c>
      <c r="H16" s="474">
        <v>1</v>
      </c>
      <c r="I16" s="477">
        <v>25</v>
      </c>
      <c r="J16" s="474"/>
      <c r="K16" s="477"/>
      <c r="L16" s="474">
        <v>1</v>
      </c>
      <c r="M16" s="477">
        <v>50</v>
      </c>
      <c r="P16" s="433" t="s">
        <v>17</v>
      </c>
      <c r="Q16" s="474">
        <v>1</v>
      </c>
      <c r="R16" s="477">
        <v>40</v>
      </c>
      <c r="S16" s="474"/>
      <c r="T16" s="477"/>
      <c r="U16" s="474"/>
      <c r="V16" s="477"/>
      <c r="W16" s="474">
        <v>11</v>
      </c>
      <c r="X16" s="473">
        <v>2973</v>
      </c>
    </row>
    <row r="17" spans="1:24" ht="13.5" thickBot="1">
      <c r="A17" s="805" t="s">
        <v>18</v>
      </c>
      <c r="B17" s="809"/>
      <c r="C17" s="810"/>
      <c r="D17" s="809"/>
      <c r="E17" s="810"/>
      <c r="F17" s="809">
        <v>1</v>
      </c>
      <c r="G17" s="811">
        <v>50</v>
      </c>
      <c r="H17" s="809"/>
      <c r="I17" s="810"/>
      <c r="J17" s="809"/>
      <c r="K17" s="810"/>
      <c r="L17" s="809"/>
      <c r="M17" s="810"/>
      <c r="P17" s="805" t="s">
        <v>18</v>
      </c>
      <c r="Q17" s="809"/>
      <c r="R17" s="810"/>
      <c r="S17" s="809">
        <v>1</v>
      </c>
      <c r="T17" s="810">
        <v>80</v>
      </c>
      <c r="U17" s="809"/>
      <c r="V17" s="810"/>
      <c r="W17" s="809">
        <v>2</v>
      </c>
      <c r="X17" s="816">
        <v>130</v>
      </c>
    </row>
    <row r="18" spans="1:24" ht="13.5" thickBot="1">
      <c r="A18" s="433" t="s">
        <v>19</v>
      </c>
      <c r="B18" s="474"/>
      <c r="C18" s="477"/>
      <c r="D18" s="474"/>
      <c r="E18" s="477"/>
      <c r="F18" s="474">
        <v>15</v>
      </c>
      <c r="G18" s="478">
        <v>8620</v>
      </c>
      <c r="H18" s="474">
        <v>1</v>
      </c>
      <c r="I18" s="477">
        <v>15</v>
      </c>
      <c r="J18" s="474"/>
      <c r="K18" s="477"/>
      <c r="L18" s="474">
        <v>6</v>
      </c>
      <c r="M18" s="477">
        <v>55</v>
      </c>
      <c r="P18" s="433" t="s">
        <v>19</v>
      </c>
      <c r="Q18" s="474"/>
      <c r="R18" s="477"/>
      <c r="S18" s="474"/>
      <c r="T18" s="477"/>
      <c r="U18" s="474">
        <v>2</v>
      </c>
      <c r="V18" s="477">
        <v>800</v>
      </c>
      <c r="W18" s="474">
        <v>24</v>
      </c>
      <c r="X18" s="473">
        <v>9490</v>
      </c>
    </row>
    <row r="19" spans="1:24" ht="13.5" thickBot="1">
      <c r="A19" s="805" t="s">
        <v>20</v>
      </c>
      <c r="B19" s="809"/>
      <c r="C19" s="810"/>
      <c r="D19" s="809">
        <v>1</v>
      </c>
      <c r="E19" s="810">
        <v>20</v>
      </c>
      <c r="F19" s="809">
        <v>6</v>
      </c>
      <c r="G19" s="811">
        <v>15539</v>
      </c>
      <c r="H19" s="809">
        <v>1</v>
      </c>
      <c r="I19" s="810">
        <v>60</v>
      </c>
      <c r="J19" s="809"/>
      <c r="K19" s="810"/>
      <c r="L19" s="809">
        <v>1</v>
      </c>
      <c r="M19" s="810">
        <v>450</v>
      </c>
      <c r="P19" s="805" t="s">
        <v>20</v>
      </c>
      <c r="Q19" s="809"/>
      <c r="R19" s="810"/>
      <c r="S19" s="809"/>
      <c r="T19" s="810"/>
      <c r="U19" s="809">
        <v>2</v>
      </c>
      <c r="V19" s="810">
        <v>670</v>
      </c>
      <c r="W19" s="809">
        <v>11</v>
      </c>
      <c r="X19" s="816">
        <v>16739</v>
      </c>
    </row>
    <row r="20" spans="1:24" ht="12.75" customHeight="1" thickBot="1">
      <c r="A20" s="433" t="s">
        <v>224</v>
      </c>
      <c r="B20" s="474"/>
      <c r="C20" s="477"/>
      <c r="D20" s="474"/>
      <c r="E20" s="477"/>
      <c r="F20" s="474">
        <v>4</v>
      </c>
      <c r="G20" s="478">
        <v>2365</v>
      </c>
      <c r="H20" s="474"/>
      <c r="I20" s="477"/>
      <c r="J20" s="474"/>
      <c r="K20" s="477"/>
      <c r="L20" s="474">
        <v>1</v>
      </c>
      <c r="M20" s="477">
        <v>130</v>
      </c>
      <c r="P20" s="433" t="s">
        <v>224</v>
      </c>
      <c r="Q20" s="474"/>
      <c r="R20" s="477"/>
      <c r="S20" s="474"/>
      <c r="T20" s="477"/>
      <c r="U20" s="474"/>
      <c r="V20" s="477"/>
      <c r="W20" s="474">
        <v>5</v>
      </c>
      <c r="X20" s="473">
        <v>2495</v>
      </c>
    </row>
    <row r="21" spans="1:24" ht="13.5" thickBot="1">
      <c r="A21" s="805" t="s">
        <v>22</v>
      </c>
      <c r="B21" s="809"/>
      <c r="C21" s="810"/>
      <c r="D21" s="809"/>
      <c r="E21" s="810"/>
      <c r="F21" s="809"/>
      <c r="G21" s="811"/>
      <c r="H21" s="809"/>
      <c r="I21" s="810"/>
      <c r="J21" s="809"/>
      <c r="K21" s="810"/>
      <c r="L21" s="809"/>
      <c r="M21" s="810"/>
      <c r="P21" s="805" t="s">
        <v>22</v>
      </c>
      <c r="Q21" s="809"/>
      <c r="R21" s="810"/>
      <c r="S21" s="809"/>
      <c r="T21" s="810"/>
      <c r="U21" s="809"/>
      <c r="V21" s="810"/>
      <c r="W21" s="809">
        <v>0</v>
      </c>
      <c r="X21" s="816">
        <v>0</v>
      </c>
    </row>
    <row r="22" spans="1:24" ht="13.5" thickBot="1">
      <c r="A22" s="433" t="s">
        <v>23</v>
      </c>
      <c r="B22" s="474"/>
      <c r="C22" s="477"/>
      <c r="D22" s="474"/>
      <c r="E22" s="477"/>
      <c r="F22" s="474"/>
      <c r="G22" s="478"/>
      <c r="H22" s="474"/>
      <c r="I22" s="477"/>
      <c r="J22" s="474"/>
      <c r="K22" s="477"/>
      <c r="L22" s="474"/>
      <c r="M22" s="477"/>
      <c r="P22" s="433" t="s">
        <v>23</v>
      </c>
      <c r="Q22" s="474"/>
      <c r="R22" s="477"/>
      <c r="S22" s="474"/>
      <c r="T22" s="477"/>
      <c r="U22" s="474"/>
      <c r="V22" s="477"/>
      <c r="W22" s="474">
        <v>0</v>
      </c>
      <c r="X22" s="473">
        <v>0</v>
      </c>
    </row>
    <row r="23" spans="1:24" ht="13.5" thickBot="1">
      <c r="A23" s="805" t="s">
        <v>24</v>
      </c>
      <c r="B23" s="809"/>
      <c r="C23" s="810"/>
      <c r="D23" s="809"/>
      <c r="E23" s="810"/>
      <c r="F23" s="809">
        <v>7</v>
      </c>
      <c r="G23" s="811">
        <v>1074</v>
      </c>
      <c r="H23" s="809"/>
      <c r="I23" s="810"/>
      <c r="J23" s="809"/>
      <c r="K23" s="810"/>
      <c r="L23" s="809">
        <v>2</v>
      </c>
      <c r="M23" s="810">
        <v>6165</v>
      </c>
      <c r="P23" s="805" t="s">
        <v>24</v>
      </c>
      <c r="Q23" s="809"/>
      <c r="R23" s="810"/>
      <c r="S23" s="809">
        <v>3</v>
      </c>
      <c r="T23" s="810">
        <v>12.2</v>
      </c>
      <c r="U23" s="809"/>
      <c r="V23" s="810"/>
      <c r="W23" s="809">
        <v>12</v>
      </c>
      <c r="X23" s="816">
        <v>7251.2</v>
      </c>
    </row>
    <row r="24" spans="1:24" ht="13.5" thickBot="1">
      <c r="A24" s="433" t="s">
        <v>25</v>
      </c>
      <c r="B24" s="474"/>
      <c r="C24" s="477"/>
      <c r="D24" s="474"/>
      <c r="E24" s="477"/>
      <c r="F24" s="474">
        <v>3</v>
      </c>
      <c r="G24" s="478">
        <v>161.30000000000001</v>
      </c>
      <c r="H24" s="474"/>
      <c r="I24" s="477"/>
      <c r="J24" s="474"/>
      <c r="K24" s="477"/>
      <c r="L24" s="474">
        <v>1</v>
      </c>
      <c r="M24" s="477">
        <v>160</v>
      </c>
      <c r="P24" s="433" t="s">
        <v>25</v>
      </c>
      <c r="Q24" s="474"/>
      <c r="R24" s="477"/>
      <c r="S24" s="474"/>
      <c r="T24" s="477"/>
      <c r="U24" s="474">
        <v>2</v>
      </c>
      <c r="V24" s="477">
        <v>450</v>
      </c>
      <c r="W24" s="474">
        <v>6</v>
      </c>
      <c r="X24" s="473">
        <v>771.3</v>
      </c>
    </row>
    <row r="25" spans="1:24" ht="13.5" thickBot="1">
      <c r="A25" s="805" t="s">
        <v>36</v>
      </c>
      <c r="B25" s="809">
        <v>2</v>
      </c>
      <c r="C25" s="810">
        <v>245</v>
      </c>
      <c r="D25" s="809"/>
      <c r="E25" s="810"/>
      <c r="F25" s="809"/>
      <c r="G25" s="811"/>
      <c r="H25" s="809"/>
      <c r="I25" s="810"/>
      <c r="J25" s="809"/>
      <c r="K25" s="810"/>
      <c r="L25" s="809"/>
      <c r="M25" s="810"/>
      <c r="P25" s="805" t="s">
        <v>36</v>
      </c>
      <c r="Q25" s="809"/>
      <c r="R25" s="810"/>
      <c r="S25" s="809">
        <v>2</v>
      </c>
      <c r="T25" s="810">
        <v>300</v>
      </c>
      <c r="U25" s="809"/>
      <c r="V25" s="810"/>
      <c r="W25" s="809">
        <v>4</v>
      </c>
      <c r="X25" s="816">
        <v>545</v>
      </c>
    </row>
    <row r="26" spans="1:24" ht="13.5" thickBot="1">
      <c r="A26" s="433" t="s">
        <v>225</v>
      </c>
      <c r="B26" s="474"/>
      <c r="C26" s="477"/>
      <c r="D26" s="474"/>
      <c r="E26" s="477"/>
      <c r="F26" s="474"/>
      <c r="G26" s="478"/>
      <c r="H26" s="474">
        <v>3</v>
      </c>
      <c r="I26" s="477">
        <v>91</v>
      </c>
      <c r="J26" s="474"/>
      <c r="K26" s="477"/>
      <c r="L26" s="474">
        <v>3</v>
      </c>
      <c r="M26" s="477">
        <v>121</v>
      </c>
      <c r="P26" s="433" t="s">
        <v>225</v>
      </c>
      <c r="Q26" s="474"/>
      <c r="R26" s="477"/>
      <c r="S26" s="474"/>
      <c r="T26" s="477"/>
      <c r="U26" s="474"/>
      <c r="V26" s="477"/>
      <c r="W26" s="474">
        <v>6</v>
      </c>
      <c r="X26" s="473">
        <v>212</v>
      </c>
    </row>
    <row r="27" spans="1:24" ht="13.5" thickBot="1">
      <c r="A27" s="805" t="s">
        <v>27</v>
      </c>
      <c r="B27" s="809"/>
      <c r="C27" s="810"/>
      <c r="D27" s="809"/>
      <c r="E27" s="810"/>
      <c r="F27" s="809"/>
      <c r="G27" s="811"/>
      <c r="H27" s="809"/>
      <c r="I27" s="810"/>
      <c r="J27" s="809"/>
      <c r="K27" s="810"/>
      <c r="L27" s="809"/>
      <c r="M27" s="810"/>
      <c r="P27" s="805" t="s">
        <v>27</v>
      </c>
      <c r="Q27" s="809"/>
      <c r="R27" s="810"/>
      <c r="S27" s="809"/>
      <c r="T27" s="810"/>
      <c r="U27" s="809"/>
      <c r="V27" s="810"/>
      <c r="W27" s="809">
        <v>0</v>
      </c>
      <c r="X27" s="816">
        <v>0</v>
      </c>
    </row>
    <row r="28" spans="1:24" ht="13.5" thickBot="1">
      <c r="A28" s="433" t="s">
        <v>28</v>
      </c>
      <c r="B28" s="474">
        <v>1</v>
      </c>
      <c r="C28" s="477">
        <v>28</v>
      </c>
      <c r="D28" s="474"/>
      <c r="E28" s="477"/>
      <c r="F28" s="474">
        <v>4</v>
      </c>
      <c r="G28" s="478">
        <v>835</v>
      </c>
      <c r="H28" s="474">
        <v>2</v>
      </c>
      <c r="I28" s="477">
        <v>20</v>
      </c>
      <c r="J28" s="474"/>
      <c r="K28" s="477"/>
      <c r="L28" s="474">
        <v>4</v>
      </c>
      <c r="M28" s="477">
        <v>69</v>
      </c>
      <c r="P28" s="433" t="s">
        <v>28</v>
      </c>
      <c r="Q28" s="474"/>
      <c r="R28" s="477"/>
      <c r="S28" s="474">
        <v>3</v>
      </c>
      <c r="T28" s="477">
        <v>5.0999999999999996</v>
      </c>
      <c r="U28" s="474"/>
      <c r="V28" s="477"/>
      <c r="W28" s="474">
        <v>14</v>
      </c>
      <c r="X28" s="473">
        <v>957.1</v>
      </c>
    </row>
    <row r="29" spans="1:24" ht="13.5" thickBot="1">
      <c r="A29" s="805" t="s">
        <v>29</v>
      </c>
      <c r="B29" s="809"/>
      <c r="C29" s="810"/>
      <c r="D29" s="809"/>
      <c r="E29" s="810"/>
      <c r="F29" s="809">
        <v>30</v>
      </c>
      <c r="G29" s="811">
        <v>3164</v>
      </c>
      <c r="H29" s="809">
        <v>106</v>
      </c>
      <c r="I29" s="810">
        <v>3126.6</v>
      </c>
      <c r="J29" s="809"/>
      <c r="K29" s="810"/>
      <c r="L29" s="809"/>
      <c r="M29" s="810"/>
      <c r="P29" s="805" t="s">
        <v>29</v>
      </c>
      <c r="Q29" s="809"/>
      <c r="R29" s="810"/>
      <c r="S29" s="809"/>
      <c r="T29" s="810"/>
      <c r="U29" s="809">
        <v>6</v>
      </c>
      <c r="V29" s="810">
        <v>1453</v>
      </c>
      <c r="W29" s="809">
        <v>142</v>
      </c>
      <c r="X29" s="816">
        <v>7743.6</v>
      </c>
    </row>
    <row r="30" spans="1:24" ht="13.5" thickBot="1">
      <c r="A30" s="433" t="s">
        <v>37</v>
      </c>
      <c r="B30" s="474"/>
      <c r="C30" s="477"/>
      <c r="D30" s="474"/>
      <c r="E30" s="477"/>
      <c r="F30" s="474">
        <v>24</v>
      </c>
      <c r="G30" s="478">
        <v>2138.2199999999998</v>
      </c>
      <c r="H30" s="474"/>
      <c r="I30" s="477"/>
      <c r="J30" s="474"/>
      <c r="K30" s="477"/>
      <c r="L30" s="474"/>
      <c r="M30" s="477"/>
      <c r="P30" s="433" t="s">
        <v>37</v>
      </c>
      <c r="Q30" s="474"/>
      <c r="R30" s="477"/>
      <c r="S30" s="474"/>
      <c r="T30" s="477"/>
      <c r="U30" s="474"/>
      <c r="V30" s="477"/>
      <c r="W30" s="474">
        <v>24</v>
      </c>
      <c r="X30" s="473">
        <v>2138.2199999999998</v>
      </c>
    </row>
    <row r="31" spans="1:24" ht="13.5" thickBot="1">
      <c r="A31" s="805" t="s">
        <v>30</v>
      </c>
      <c r="B31" s="809">
        <v>6</v>
      </c>
      <c r="C31" s="810">
        <v>60</v>
      </c>
      <c r="D31" s="809"/>
      <c r="E31" s="810"/>
      <c r="F31" s="809">
        <v>30</v>
      </c>
      <c r="G31" s="811">
        <v>6010</v>
      </c>
      <c r="H31" s="809">
        <v>8</v>
      </c>
      <c r="I31" s="810">
        <v>2030</v>
      </c>
      <c r="J31" s="809"/>
      <c r="K31" s="810"/>
      <c r="L31" s="809"/>
      <c r="M31" s="810"/>
      <c r="P31" s="805" t="s">
        <v>30</v>
      </c>
      <c r="Q31" s="809"/>
      <c r="R31" s="810"/>
      <c r="S31" s="809"/>
      <c r="T31" s="810"/>
      <c r="U31" s="809"/>
      <c r="V31" s="810"/>
      <c r="W31" s="809">
        <v>44</v>
      </c>
      <c r="X31" s="816">
        <v>8100</v>
      </c>
    </row>
    <row r="32" spans="1:24" ht="13.5" thickBot="1">
      <c r="A32" s="433" t="s">
        <v>31</v>
      </c>
      <c r="B32" s="474"/>
      <c r="C32" s="477"/>
      <c r="D32" s="474"/>
      <c r="E32" s="477"/>
      <c r="F32" s="474">
        <v>29</v>
      </c>
      <c r="G32" s="478">
        <v>10039</v>
      </c>
      <c r="H32" s="474">
        <v>14</v>
      </c>
      <c r="I32" s="477">
        <v>163</v>
      </c>
      <c r="J32" s="474"/>
      <c r="K32" s="477"/>
      <c r="L32" s="474">
        <v>9</v>
      </c>
      <c r="M32" s="477">
        <v>1225</v>
      </c>
      <c r="P32" s="433" t="s">
        <v>31</v>
      </c>
      <c r="Q32" s="474"/>
      <c r="R32" s="477"/>
      <c r="S32" s="474">
        <v>2</v>
      </c>
      <c r="T32" s="477">
        <v>11</v>
      </c>
      <c r="U32" s="474"/>
      <c r="V32" s="477"/>
      <c r="W32" s="474">
        <v>54</v>
      </c>
      <c r="X32" s="473">
        <v>11438</v>
      </c>
    </row>
    <row r="33" spans="1:35" ht="13.5" thickBot="1">
      <c r="A33" s="805" t="s">
        <v>32</v>
      </c>
      <c r="B33" s="809"/>
      <c r="C33" s="810"/>
      <c r="D33" s="809"/>
      <c r="E33" s="810"/>
      <c r="F33" s="809"/>
      <c r="G33" s="811"/>
      <c r="H33" s="809"/>
      <c r="I33" s="810"/>
      <c r="J33" s="809"/>
      <c r="K33" s="810"/>
      <c r="L33" s="809"/>
      <c r="M33" s="810"/>
      <c r="P33" s="805" t="s">
        <v>32</v>
      </c>
      <c r="Q33" s="809"/>
      <c r="R33" s="810"/>
      <c r="S33" s="809"/>
      <c r="T33" s="810"/>
      <c r="U33" s="809"/>
      <c r="V33" s="810"/>
      <c r="W33" s="809">
        <v>0</v>
      </c>
      <c r="X33" s="816">
        <v>0</v>
      </c>
    </row>
    <row r="34" spans="1:35" ht="13.5" customHeight="1" thickBot="1">
      <c r="A34" s="433" t="s">
        <v>262</v>
      </c>
      <c r="B34" s="474">
        <v>2</v>
      </c>
      <c r="C34" s="477">
        <v>200</v>
      </c>
      <c r="D34" s="474"/>
      <c r="E34" s="477"/>
      <c r="F34" s="474">
        <v>8</v>
      </c>
      <c r="G34" s="478">
        <v>4135.2</v>
      </c>
      <c r="H34" s="474"/>
      <c r="I34" s="477"/>
      <c r="J34" s="474"/>
      <c r="K34" s="477"/>
      <c r="L34" s="474">
        <v>3</v>
      </c>
      <c r="M34" s="477">
        <v>58.5</v>
      </c>
      <c r="P34" s="433" t="s">
        <v>262</v>
      </c>
      <c r="Q34" s="474"/>
      <c r="R34" s="477"/>
      <c r="S34" s="474"/>
      <c r="T34" s="477"/>
      <c r="U34" s="474"/>
      <c r="V34" s="477"/>
      <c r="W34" s="474">
        <v>13</v>
      </c>
      <c r="X34" s="473">
        <v>4393.7</v>
      </c>
    </row>
    <row r="35" spans="1:35" ht="13.5" thickBot="1">
      <c r="A35" s="805" t="s">
        <v>34</v>
      </c>
      <c r="B35" s="809"/>
      <c r="C35" s="810"/>
      <c r="D35" s="809"/>
      <c r="E35" s="810"/>
      <c r="F35" s="809"/>
      <c r="G35" s="811"/>
      <c r="H35" s="809"/>
      <c r="I35" s="810"/>
      <c r="J35" s="809"/>
      <c r="K35" s="810"/>
      <c r="L35" s="809"/>
      <c r="M35" s="810"/>
      <c r="P35" s="805" t="s">
        <v>34</v>
      </c>
      <c r="Q35" s="809"/>
      <c r="R35" s="810"/>
      <c r="S35" s="809"/>
      <c r="T35" s="810"/>
      <c r="U35" s="809"/>
      <c r="V35" s="810"/>
      <c r="W35" s="809">
        <v>0</v>
      </c>
      <c r="X35" s="816">
        <v>0</v>
      </c>
    </row>
    <row r="36" spans="1:35" ht="13.5" thickBot="1">
      <c r="A36" s="433" t="s">
        <v>35</v>
      </c>
      <c r="B36" s="474"/>
      <c r="C36" s="477"/>
      <c r="D36" s="474"/>
      <c r="E36" s="477"/>
      <c r="F36" s="474"/>
      <c r="G36" s="478"/>
      <c r="H36" s="474"/>
      <c r="I36" s="477"/>
      <c r="J36" s="474"/>
      <c r="K36" s="477"/>
      <c r="L36" s="474"/>
      <c r="M36" s="477"/>
      <c r="P36" s="433" t="s">
        <v>35</v>
      </c>
      <c r="Q36" s="474">
        <v>1</v>
      </c>
      <c r="R36" s="477">
        <v>7.5999999999999998E-2</v>
      </c>
      <c r="S36" s="474">
        <v>53</v>
      </c>
      <c r="T36" s="477">
        <v>9.73</v>
      </c>
      <c r="U36" s="474"/>
      <c r="V36" s="477"/>
      <c r="W36" s="474">
        <v>54</v>
      </c>
      <c r="X36" s="473">
        <v>9.8060000000000009</v>
      </c>
    </row>
    <row r="37" spans="1:35" ht="18" customHeight="1" thickBot="1">
      <c r="A37" s="812" t="s">
        <v>52</v>
      </c>
      <c r="B37" s="813">
        <v>21</v>
      </c>
      <c r="C37" s="814">
        <v>630.45499999999993</v>
      </c>
      <c r="D37" s="813">
        <v>15</v>
      </c>
      <c r="E37" s="815">
        <v>835</v>
      </c>
      <c r="F37" s="813">
        <v>195</v>
      </c>
      <c r="G37" s="815">
        <v>62288.020000000004</v>
      </c>
      <c r="H37" s="813">
        <v>140</v>
      </c>
      <c r="I37" s="815">
        <v>6640.6</v>
      </c>
      <c r="J37" s="813">
        <v>1</v>
      </c>
      <c r="K37" s="815">
        <v>60</v>
      </c>
      <c r="L37" s="813">
        <v>62</v>
      </c>
      <c r="M37" s="815">
        <v>14190.6</v>
      </c>
      <c r="P37" s="812" t="s">
        <v>52</v>
      </c>
      <c r="Q37" s="813">
        <v>7</v>
      </c>
      <c r="R37" s="815">
        <v>382.476</v>
      </c>
      <c r="S37" s="813">
        <v>174</v>
      </c>
      <c r="T37" s="815">
        <v>1286.598</v>
      </c>
      <c r="U37" s="813">
        <v>16</v>
      </c>
      <c r="V37" s="815">
        <v>3726.5</v>
      </c>
      <c r="W37" s="813">
        <v>631</v>
      </c>
      <c r="X37" s="815">
        <v>90040.248999999996</v>
      </c>
    </row>
    <row r="38" spans="1:35" ht="12.75" customHeight="1">
      <c r="A38" s="1332" t="s">
        <v>324</v>
      </c>
      <c r="B38" s="1332"/>
      <c r="C38" s="1332"/>
      <c r="D38" s="1332"/>
      <c r="E38" s="1332"/>
      <c r="F38" s="1332"/>
      <c r="G38" s="1332"/>
      <c r="H38" s="1332"/>
      <c r="I38" s="1332"/>
      <c r="P38" s="1332" t="s">
        <v>324</v>
      </c>
      <c r="Q38" s="1332"/>
      <c r="R38" s="1332"/>
      <c r="S38" s="1332"/>
      <c r="T38" s="1332"/>
      <c r="U38" s="1332"/>
      <c r="V38" s="1332"/>
      <c r="W38" s="1332"/>
      <c r="X38" s="1332"/>
      <c r="Y38" s="531"/>
      <c r="Z38" s="531"/>
      <c r="AA38" s="531"/>
      <c r="AB38" s="531"/>
      <c r="AC38" s="531"/>
      <c r="AD38" s="531"/>
      <c r="AE38" s="531"/>
      <c r="AF38" s="531"/>
      <c r="AG38" s="531"/>
      <c r="AH38" s="531"/>
      <c r="AI38" s="531"/>
    </row>
    <row r="39" spans="1:35">
      <c r="A39" s="299"/>
      <c r="B39" s="273"/>
      <c r="C39" s="301"/>
      <c r="D39" s="273"/>
      <c r="E39" s="301"/>
      <c r="F39" s="273"/>
      <c r="G39" s="301"/>
      <c r="H39" s="273"/>
      <c r="I39" s="301"/>
      <c r="J39" s="273"/>
      <c r="K39" s="301"/>
      <c r="L39" s="273"/>
      <c r="M39" s="301"/>
      <c r="N39" s="273"/>
    </row>
    <row r="46" spans="1:35">
      <c r="A46" s="242"/>
    </row>
  </sheetData>
  <sheetProtection password="CF4C" sheet="1" objects="1" scenarios="1"/>
  <customSheetViews>
    <customSheetView guid="{E9B43C8C-734F-433D-AD37-344F9303B5CC}" showPageBreaks="1" showGridLines="0" showRuler="0" topLeftCell="Q1">
      <pane xSplit="9.2125000000000004" ySplit="8" topLeftCell="P35" activePane="bottomLeft"/>
      <selection pane="bottomLeft" activeCell="H37" sqref="H37"/>
      <pageMargins left="0.19685039370078741" right="0.19685039370078741" top="0.39370078740157483" bottom="0.39370078740157483" header="0.39370078740157483" footer="0.39370078740157483"/>
      <printOptions horizontalCentered="1"/>
      <pageSetup scale="80" orientation="landscape" r:id="rId1"/>
      <headerFooter alignWithMargins="0"/>
    </customSheetView>
    <customSheetView guid="{9BF398E0-33D8-4E64-94A2-9B7C822C8383}" showPageBreaks="1" showGridLines="0" printArea="1" showRuler="0">
      <pane xSplit="6" ySplit="16" topLeftCell="I31" activePane="topRight"/>
      <selection pane="topRight" activeCell="I7" sqref="I7"/>
      <pageMargins left="0.19685039370078741" right="0.19685039370078741" top="0.78740157480314965" bottom="0.78740157480314965" header="0.59055118110236227" footer="0.59055118110236227"/>
      <printOptions horizontalCentered="1"/>
      <pageSetup scale="75" orientation="landscape" r:id="rId2"/>
      <headerFooter alignWithMargins="0"/>
    </customSheetView>
    <customSheetView guid="{9E220BD5-A526-40BD-8239-3A0461590922}" showPageBreaks="1" showGridLines="0" showRuler="0" topLeftCell="C13">
      <selection activeCell="S40" sqref="S40"/>
      <pageMargins left="0.19685039370078741" right="0.19685039370078741" top="0.39370078740157483" bottom="0.39370078740157483" header="0.39370078740157483" footer="0.39370078740157483"/>
      <printOptions horizontalCentered="1"/>
      <pageSetup scale="76" orientation="landscape" r:id="rId3"/>
      <headerFooter alignWithMargins="0"/>
    </customSheetView>
  </customSheetViews>
  <mergeCells count="16">
    <mergeCell ref="P2:X2"/>
    <mergeCell ref="P38:X38"/>
    <mergeCell ref="Q3:R3"/>
    <mergeCell ref="S3:T3"/>
    <mergeCell ref="U3:V3"/>
    <mergeCell ref="W3:X3"/>
    <mergeCell ref="P3:P4"/>
    <mergeCell ref="A38:I38"/>
    <mergeCell ref="J3:K3"/>
    <mergeCell ref="L3:M3"/>
    <mergeCell ref="A2:M2"/>
    <mergeCell ref="A3:A4"/>
    <mergeCell ref="B3:C3"/>
    <mergeCell ref="D3:E3"/>
    <mergeCell ref="F3:G3"/>
    <mergeCell ref="H3:I3"/>
  </mergeCells>
  <phoneticPr fontId="9" type="noConversion"/>
  <printOptions horizontalCentered="1"/>
  <pageMargins left="0.19685039370078741" right="2.1259842519685042" top="0.39370078740157483" bottom="0.39370078740157483" header="0.39370078740157483" footer="0.39370078740157483"/>
  <pageSetup paperSize="119" scale="95" fitToWidth="2" fitToHeight="2" orientation="landscape" r:id="rId4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54" enableFormatConditionsCalculation="0">
    <tabColor rgb="FF00B0F0"/>
    <pageSetUpPr fitToPage="1"/>
  </sheetPr>
  <dimension ref="A1:G49"/>
  <sheetViews>
    <sheetView showGridLines="0" workbookViewId="0">
      <selection activeCell="I8" sqref="I8"/>
    </sheetView>
  </sheetViews>
  <sheetFormatPr baseColWidth="10" defaultRowHeight="12.75"/>
  <cols>
    <col min="1" max="1" width="1.85546875" customWidth="1"/>
    <col min="2" max="2" width="12.7109375" customWidth="1"/>
    <col min="3" max="4" width="18.7109375" customWidth="1"/>
    <col min="5" max="5" width="12.7109375" customWidth="1"/>
    <col min="6" max="6" width="1.7109375" customWidth="1"/>
  </cols>
  <sheetData>
    <row r="1" spans="1:6" s="46" customFormat="1" ht="12" customHeight="1">
      <c r="A1" s="261"/>
      <c r="B1" s="259"/>
      <c r="C1" s="260"/>
      <c r="D1" s="260"/>
      <c r="E1" s="260"/>
      <c r="F1" s="261"/>
    </row>
    <row r="2" spans="1:6" ht="51" customHeight="1" thickBot="1">
      <c r="A2" s="263"/>
      <c r="B2" s="1324" t="s">
        <v>268</v>
      </c>
      <c r="C2" s="1324"/>
      <c r="D2" s="1324"/>
      <c r="E2" s="1324"/>
      <c r="F2" s="263"/>
    </row>
    <row r="3" spans="1:6" ht="33.75" customHeight="1" thickBot="1">
      <c r="A3" s="263"/>
      <c r="B3" s="817" t="s">
        <v>256</v>
      </c>
      <c r="C3" s="817" t="s">
        <v>436</v>
      </c>
      <c r="D3" s="817" t="s">
        <v>437</v>
      </c>
      <c r="E3" s="817" t="s">
        <v>323</v>
      </c>
      <c r="F3" s="263"/>
    </row>
    <row r="4" spans="1:6" ht="15" customHeight="1" thickBot="1">
      <c r="A4" s="263"/>
      <c r="B4" s="791">
        <v>1991</v>
      </c>
      <c r="C4" s="822">
        <v>240075</v>
      </c>
      <c r="D4" s="822">
        <v>202900</v>
      </c>
      <c r="E4" s="823">
        <v>84.5</v>
      </c>
      <c r="F4" s="263"/>
    </row>
    <row r="5" spans="1:6" ht="15" customHeight="1" thickBot="1">
      <c r="A5" s="263"/>
      <c r="B5" s="431">
        <v>1992</v>
      </c>
      <c r="C5" s="476">
        <v>247580</v>
      </c>
      <c r="D5" s="476">
        <v>229400</v>
      </c>
      <c r="E5" s="475">
        <v>92.7</v>
      </c>
      <c r="F5" s="263"/>
    </row>
    <row r="6" spans="1:6" ht="15" customHeight="1" thickBot="1">
      <c r="A6" s="263"/>
      <c r="B6" s="791">
        <v>1993</v>
      </c>
      <c r="C6" s="822">
        <v>249692</v>
      </c>
      <c r="D6" s="822">
        <v>237149</v>
      </c>
      <c r="E6" s="823">
        <v>95</v>
      </c>
      <c r="F6" s="263"/>
    </row>
    <row r="7" spans="1:6" ht="15" customHeight="1" thickBot="1">
      <c r="A7" s="263"/>
      <c r="B7" s="431">
        <v>1994</v>
      </c>
      <c r="C7" s="476">
        <v>261290</v>
      </c>
      <c r="D7" s="476">
        <v>250840</v>
      </c>
      <c r="E7" s="475">
        <v>96</v>
      </c>
      <c r="F7" s="263"/>
    </row>
    <row r="8" spans="1:6" ht="15" customHeight="1" thickBot="1">
      <c r="A8" s="263"/>
      <c r="B8" s="791">
        <v>1995</v>
      </c>
      <c r="C8" s="822">
        <v>272404</v>
      </c>
      <c r="D8" s="822">
        <v>256265</v>
      </c>
      <c r="E8" s="823">
        <v>94.1</v>
      </c>
      <c r="F8" s="263"/>
    </row>
    <row r="9" spans="1:6" ht="15" customHeight="1" thickBot="1">
      <c r="A9" s="263"/>
      <c r="B9" s="431">
        <v>1996</v>
      </c>
      <c r="C9" s="476">
        <v>277137</v>
      </c>
      <c r="D9" s="476">
        <v>262099</v>
      </c>
      <c r="E9" s="475">
        <v>94.6</v>
      </c>
      <c r="F9" s="263"/>
    </row>
    <row r="10" spans="1:6" ht="15" customHeight="1" thickBot="1">
      <c r="A10" s="263"/>
      <c r="B10" s="791">
        <v>1997</v>
      </c>
      <c r="C10" s="822">
        <v>283631</v>
      </c>
      <c r="D10" s="822">
        <v>269047</v>
      </c>
      <c r="E10" s="823">
        <v>94.9</v>
      </c>
      <c r="F10" s="263"/>
    </row>
    <row r="11" spans="1:6" ht="15" customHeight="1" thickBot="1">
      <c r="A11" s="263"/>
      <c r="B11" s="431">
        <v>1998</v>
      </c>
      <c r="C11" s="476">
        <v>294570</v>
      </c>
      <c r="D11" s="476">
        <v>275220</v>
      </c>
      <c r="E11" s="475">
        <v>93.4</v>
      </c>
      <c r="F11" s="263"/>
    </row>
    <row r="12" spans="1:6" ht="15" customHeight="1" thickBot="1">
      <c r="A12" s="263"/>
      <c r="B12" s="791">
        <v>1999</v>
      </c>
      <c r="C12" s="822">
        <v>309774</v>
      </c>
      <c r="D12" s="822">
        <v>287147</v>
      </c>
      <c r="E12" s="823">
        <v>92.7</v>
      </c>
      <c r="F12" s="263"/>
    </row>
    <row r="13" spans="1:6" ht="15" customHeight="1" thickBot="1">
      <c r="A13" s="263"/>
      <c r="B13" s="431">
        <v>2000</v>
      </c>
      <c r="C13" s="476">
        <v>312007</v>
      </c>
      <c r="D13" s="476">
        <v>294400</v>
      </c>
      <c r="E13" s="475">
        <v>94.4</v>
      </c>
      <c r="F13" s="263"/>
    </row>
    <row r="14" spans="1:6" ht="15" customHeight="1" thickBot="1">
      <c r="A14" s="263"/>
      <c r="B14" s="791">
        <v>2001</v>
      </c>
      <c r="C14" s="822">
        <v>315300</v>
      </c>
      <c r="D14" s="822">
        <v>301950</v>
      </c>
      <c r="E14" s="823">
        <v>95.8</v>
      </c>
      <c r="F14" s="263"/>
    </row>
    <row r="15" spans="1:6" ht="15" customHeight="1" thickBot="1">
      <c r="A15" s="263"/>
      <c r="B15" s="431">
        <v>2002</v>
      </c>
      <c r="C15" s="476">
        <v>314770</v>
      </c>
      <c r="D15" s="476">
        <v>297680</v>
      </c>
      <c r="E15" s="475">
        <v>94.6</v>
      </c>
      <c r="F15" s="263"/>
    </row>
    <row r="16" spans="1:6" ht="15" customHeight="1" thickBot="1">
      <c r="A16" s="263"/>
      <c r="B16" s="791">
        <v>2003</v>
      </c>
      <c r="C16" s="822">
        <v>320682</v>
      </c>
      <c r="D16" s="822">
        <v>305847</v>
      </c>
      <c r="E16" s="823">
        <v>95.37</v>
      </c>
      <c r="F16" s="263"/>
    </row>
    <row r="17" spans="1:7" ht="15" customHeight="1" thickBot="1">
      <c r="A17" s="263"/>
      <c r="B17" s="431">
        <v>2004</v>
      </c>
      <c r="C17" s="476">
        <v>322547</v>
      </c>
      <c r="D17" s="476">
        <v>309170</v>
      </c>
      <c r="E17" s="475">
        <v>95.852697436342609</v>
      </c>
      <c r="F17" s="263"/>
    </row>
    <row r="18" spans="1:7" ht="15" customHeight="1" thickBot="1">
      <c r="A18" s="263"/>
      <c r="B18" s="791">
        <v>2005</v>
      </c>
      <c r="C18" s="822">
        <v>324467</v>
      </c>
      <c r="D18" s="822">
        <v>311295</v>
      </c>
      <c r="E18" s="823">
        <v>95.940419210582277</v>
      </c>
      <c r="F18" s="263"/>
    </row>
    <row r="19" spans="1:7" ht="15" customHeight="1" thickBot="1">
      <c r="A19" s="263"/>
      <c r="B19" s="431">
        <v>2006</v>
      </c>
      <c r="C19" s="476">
        <v>325181</v>
      </c>
      <c r="D19" s="476">
        <v>312253</v>
      </c>
      <c r="E19" s="475">
        <v>96</v>
      </c>
      <c r="F19" s="263"/>
    </row>
    <row r="20" spans="1:7" ht="15" customHeight="1" thickBot="1">
      <c r="A20" s="263"/>
      <c r="B20" s="791">
        <v>2007</v>
      </c>
      <c r="C20" s="822">
        <v>327618</v>
      </c>
      <c r="D20" s="822">
        <v>315243</v>
      </c>
      <c r="E20" s="823">
        <v>96.2</v>
      </c>
      <c r="F20" s="263"/>
    </row>
    <row r="21" spans="1:7" ht="15" customHeight="1" thickBot="1">
      <c r="A21" s="263"/>
      <c r="B21" s="431">
        <v>2008</v>
      </c>
      <c r="C21" s="476">
        <v>328242.74</v>
      </c>
      <c r="D21" s="476">
        <v>317394.74</v>
      </c>
      <c r="E21" s="475">
        <v>96.695128733083294</v>
      </c>
      <c r="F21" s="263"/>
    </row>
    <row r="22" spans="1:7" ht="15" customHeight="1" thickBot="1">
      <c r="A22" s="263"/>
      <c r="B22" s="796">
        <v>2009</v>
      </c>
      <c r="C22" s="818">
        <v>328175.96099999995</v>
      </c>
      <c r="D22" s="818">
        <v>318647.46500000003</v>
      </c>
      <c r="E22" s="819">
        <v>97.09652834687671</v>
      </c>
      <c r="F22" s="263"/>
    </row>
    <row r="23" spans="1:7" ht="12.75" customHeight="1">
      <c r="A23" s="263"/>
      <c r="B23" s="1342" t="s">
        <v>324</v>
      </c>
      <c r="C23" s="1342"/>
      <c r="D23" s="1342"/>
      <c r="E23" s="1342"/>
      <c r="F23" s="956"/>
      <c r="G23" s="956"/>
    </row>
    <row r="24" spans="1:7" ht="9" customHeight="1">
      <c r="A24" s="263"/>
      <c r="B24" s="298"/>
      <c r="C24" s="273"/>
      <c r="D24" s="273"/>
      <c r="E24" s="273"/>
      <c r="F24" s="263"/>
    </row>
    <row r="31" spans="1:7">
      <c r="B31" s="237"/>
    </row>
    <row r="34" spans="2:2">
      <c r="B34" s="235"/>
    </row>
    <row r="42" spans="2:2">
      <c r="B42" s="235"/>
    </row>
    <row r="49" spans="2:2">
      <c r="B49" s="242"/>
    </row>
  </sheetData>
  <sheetProtection password="CF4C" sheet="1" objects="1" scenarios="1"/>
  <customSheetViews>
    <customSheetView guid="{E9B43C8C-734F-433D-AD37-344F9303B5CC}" showPageBreaks="1" showGridLines="0" showRuler="0" topLeftCell="A2">
      <selection activeCell="C6" sqref="C6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1"/>
      <headerFooter alignWithMargins="0"/>
    </customSheetView>
    <customSheetView guid="{9BF398E0-33D8-4E64-94A2-9B7C822C8383}" showPageBreaks="1" showGridLines="0" printArea="1" showRuler="0">
      <selection activeCell="D25" sqref="D25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2"/>
      <headerFooter alignWithMargins="0"/>
    </customSheetView>
    <customSheetView guid="{9E220BD5-A526-40BD-8239-3A0461590922}" showPageBreaks="1" showGridLines="0" printArea="1" showRuler="0">
      <selection activeCell="G33" sqref="G33"/>
      <colBreaks count="1" manualBreakCount="1">
        <brk id="6" max="1048575" man="1"/>
      </colBreaks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3"/>
      <headerFooter alignWithMargins="0"/>
    </customSheetView>
  </customSheetViews>
  <mergeCells count="2">
    <mergeCell ref="B2:E2"/>
    <mergeCell ref="B23:E23"/>
  </mergeCells>
  <phoneticPr fontId="9" type="noConversion"/>
  <printOptions horizontalCentered="1"/>
  <pageMargins left="0.19685039370078741" right="0.19685039370078741" top="0.59055118110236227" bottom="0.59055118110236227" header="0.39370078740157483" footer="0.39370078740157483"/>
  <pageSetup orientation="portrait" r:id="rId4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55" enableFormatConditionsCalculation="0">
    <tabColor rgb="FF00B0F0"/>
    <pageSetUpPr fitToPage="1"/>
  </sheetPr>
  <dimension ref="A1:F44"/>
  <sheetViews>
    <sheetView showGridLines="0" zoomScale="90" zoomScaleNormal="90" workbookViewId="0">
      <selection activeCell="K16" sqref="K16"/>
    </sheetView>
  </sheetViews>
  <sheetFormatPr baseColWidth="10" defaultRowHeight="12.75"/>
  <cols>
    <col min="1" max="1" width="1.7109375" customWidth="1"/>
    <col min="2" max="4" width="20.7109375" customWidth="1"/>
    <col min="5" max="5" width="12.7109375" customWidth="1"/>
    <col min="6" max="6" width="1.7109375" customWidth="1"/>
  </cols>
  <sheetData>
    <row r="1" spans="1:6" s="46" customFormat="1" ht="12" customHeight="1">
      <c r="A1" s="261"/>
      <c r="B1" s="259"/>
      <c r="C1" s="260"/>
      <c r="D1" s="260"/>
      <c r="E1" s="260"/>
      <c r="F1" s="261"/>
    </row>
    <row r="2" spans="1:6" ht="37.5" customHeight="1" thickBot="1">
      <c r="A2" s="263"/>
      <c r="B2" s="1324" t="s">
        <v>325</v>
      </c>
      <c r="C2" s="1324"/>
      <c r="D2" s="1324"/>
      <c r="E2" s="1324"/>
      <c r="F2" s="263"/>
    </row>
    <row r="3" spans="1:6" ht="18" customHeight="1" thickBot="1">
      <c r="A3" s="263"/>
      <c r="B3" s="1336" t="s">
        <v>230</v>
      </c>
      <c r="C3" s="1333" t="s">
        <v>639</v>
      </c>
      <c r="D3" s="1335"/>
      <c r="E3" s="1336" t="s">
        <v>323</v>
      </c>
      <c r="F3" s="263"/>
    </row>
    <row r="4" spans="1:6" ht="18" customHeight="1" thickBot="1">
      <c r="A4" s="263"/>
      <c r="B4" s="1337"/>
      <c r="C4" s="820" t="s">
        <v>326</v>
      </c>
      <c r="D4" s="820" t="s">
        <v>327</v>
      </c>
      <c r="E4" s="1337"/>
      <c r="F4" s="263"/>
    </row>
    <row r="5" spans="1:6" ht="15" customHeight="1" thickBot="1">
      <c r="A5" s="263"/>
      <c r="B5" s="805" t="s">
        <v>6</v>
      </c>
      <c r="C5" s="984">
        <v>3919.52</v>
      </c>
      <c r="D5" s="984">
        <v>3711.02</v>
      </c>
      <c r="E5" s="823">
        <v>94.680471078091202</v>
      </c>
      <c r="F5" s="263"/>
    </row>
    <row r="6" spans="1:6" ht="15" customHeight="1" thickBot="1">
      <c r="A6" s="263"/>
      <c r="B6" s="433" t="s">
        <v>7</v>
      </c>
      <c r="C6" s="985">
        <v>8629</v>
      </c>
      <c r="D6" s="985">
        <v>8517.74</v>
      </c>
      <c r="E6" s="475">
        <v>98.710626955614785</v>
      </c>
      <c r="F6" s="263"/>
    </row>
    <row r="7" spans="1:6" ht="15" customHeight="1" thickBot="1">
      <c r="A7" s="263"/>
      <c r="B7" s="805" t="s">
        <v>8</v>
      </c>
      <c r="C7" s="984">
        <v>2800.13</v>
      </c>
      <c r="D7" s="984">
        <v>2765.2</v>
      </c>
      <c r="E7" s="823">
        <v>98.752557916953847</v>
      </c>
      <c r="F7" s="263"/>
    </row>
    <row r="8" spans="1:6" ht="15" customHeight="1" thickBot="1">
      <c r="A8" s="263"/>
      <c r="B8" s="433" t="s">
        <v>9</v>
      </c>
      <c r="C8" s="985">
        <v>2917.54</v>
      </c>
      <c r="D8" s="985">
        <v>2914.6899999999996</v>
      </c>
      <c r="E8" s="475">
        <v>99.902314963976494</v>
      </c>
      <c r="F8" s="263"/>
    </row>
    <row r="9" spans="1:6" ht="15" customHeight="1" thickBot="1">
      <c r="A9" s="263"/>
      <c r="B9" s="805" t="s">
        <v>12</v>
      </c>
      <c r="C9" s="984">
        <v>8767.33</v>
      </c>
      <c r="D9" s="984">
        <v>7288.91</v>
      </c>
      <c r="E9" s="823">
        <v>83.137169468926118</v>
      </c>
      <c r="F9" s="263"/>
    </row>
    <row r="10" spans="1:6" ht="15" customHeight="1" thickBot="1">
      <c r="A10" s="263"/>
      <c r="B10" s="433" t="s">
        <v>13</v>
      </c>
      <c r="C10" s="985">
        <v>13215.372000000001</v>
      </c>
      <c r="D10" s="985">
        <v>13215.372000000001</v>
      </c>
      <c r="E10" s="475">
        <v>100</v>
      </c>
      <c r="F10" s="263"/>
    </row>
    <row r="11" spans="1:6" ht="15" customHeight="1" thickBot="1">
      <c r="A11" s="263"/>
      <c r="B11" s="805" t="s">
        <v>223</v>
      </c>
      <c r="C11" s="984">
        <v>11650.550000000001</v>
      </c>
      <c r="D11" s="984">
        <v>11212.05</v>
      </c>
      <c r="E11" s="823">
        <v>96.236229190896552</v>
      </c>
      <c r="F11" s="263"/>
    </row>
    <row r="12" spans="1:6" ht="15" customHeight="1" thickBot="1">
      <c r="A12" s="263"/>
      <c r="B12" s="433" t="s">
        <v>11</v>
      </c>
      <c r="C12" s="985">
        <v>3750.94</v>
      </c>
      <c r="D12" s="985">
        <v>3691.61</v>
      </c>
      <c r="E12" s="475">
        <v>98.418263155369061</v>
      </c>
      <c r="F12" s="263"/>
    </row>
    <row r="13" spans="1:6" ht="15" customHeight="1" thickBot="1">
      <c r="A13" s="263"/>
      <c r="B13" s="805" t="s">
        <v>14</v>
      </c>
      <c r="C13" s="984">
        <v>32088</v>
      </c>
      <c r="D13" s="984">
        <v>31538.25</v>
      </c>
      <c r="E13" s="823">
        <v>98.286742707554225</v>
      </c>
      <c r="F13" s="263"/>
    </row>
    <row r="14" spans="1:6" ht="15" customHeight="1" thickBot="1">
      <c r="A14" s="263"/>
      <c r="B14" s="433" t="s">
        <v>15</v>
      </c>
      <c r="C14" s="985">
        <v>7922.88</v>
      </c>
      <c r="D14" s="985">
        <v>7534.16</v>
      </c>
      <c r="E14" s="475">
        <v>95.093703299810159</v>
      </c>
      <c r="F14" s="263"/>
    </row>
    <row r="15" spans="1:6" ht="15" customHeight="1" thickBot="1">
      <c r="A15" s="263"/>
      <c r="B15" s="805" t="s">
        <v>16</v>
      </c>
      <c r="C15" s="984">
        <v>13689.213</v>
      </c>
      <c r="D15" s="984">
        <v>12709.723</v>
      </c>
      <c r="E15" s="823">
        <v>92.844804153460103</v>
      </c>
      <c r="F15" s="263"/>
    </row>
    <row r="16" spans="1:6" ht="15" customHeight="1" thickBot="1">
      <c r="A16" s="263"/>
      <c r="B16" s="433" t="s">
        <v>17</v>
      </c>
      <c r="C16" s="985">
        <v>7701.79</v>
      </c>
      <c r="D16" s="985">
        <v>6794.89</v>
      </c>
      <c r="E16" s="475">
        <v>88.224815270216411</v>
      </c>
      <c r="F16" s="263"/>
    </row>
    <row r="17" spans="1:6" ht="15" customHeight="1" thickBot="1">
      <c r="A17" s="263"/>
      <c r="B17" s="805" t="s">
        <v>18</v>
      </c>
      <c r="C17" s="984">
        <v>4279.16</v>
      </c>
      <c r="D17" s="984">
        <v>4082.96</v>
      </c>
      <c r="E17" s="823">
        <v>95.414987988296772</v>
      </c>
      <c r="F17" s="263"/>
    </row>
    <row r="18" spans="1:6" ht="15" customHeight="1" thickBot="1">
      <c r="A18" s="263"/>
      <c r="B18" s="433" t="s">
        <v>19</v>
      </c>
      <c r="C18" s="985">
        <v>20693.603999999999</v>
      </c>
      <c r="D18" s="985">
        <v>20276.009999999998</v>
      </c>
      <c r="E18" s="475">
        <v>97.982014152778802</v>
      </c>
      <c r="F18" s="263"/>
    </row>
    <row r="19" spans="1:6" ht="15" customHeight="1" thickBot="1">
      <c r="A19" s="263"/>
      <c r="B19" s="805" t="s">
        <v>20</v>
      </c>
      <c r="C19" s="984">
        <v>35476.269999999997</v>
      </c>
      <c r="D19" s="984">
        <v>35476.269999999997</v>
      </c>
      <c r="E19" s="823">
        <v>100</v>
      </c>
      <c r="F19" s="263"/>
    </row>
    <row r="20" spans="1:6" ht="15" customHeight="1" thickBot="1">
      <c r="A20" s="263"/>
      <c r="B20" s="433" t="s">
        <v>224</v>
      </c>
      <c r="C20" s="985">
        <v>14683.04</v>
      </c>
      <c r="D20" s="985">
        <v>13922.73</v>
      </c>
      <c r="E20" s="475">
        <v>94.82184888143054</v>
      </c>
      <c r="F20" s="263"/>
    </row>
    <row r="21" spans="1:6" ht="15" customHeight="1" thickBot="1">
      <c r="A21" s="263"/>
      <c r="B21" s="805" t="s">
        <v>22</v>
      </c>
      <c r="C21" s="984">
        <v>9941.2000000000007</v>
      </c>
      <c r="D21" s="984">
        <v>9643.15</v>
      </c>
      <c r="E21" s="823">
        <v>97.001871001488752</v>
      </c>
      <c r="F21" s="263"/>
    </row>
    <row r="22" spans="1:6" ht="15" customHeight="1" thickBot="1">
      <c r="A22" s="263"/>
      <c r="B22" s="433" t="s">
        <v>23</v>
      </c>
      <c r="C22" s="985">
        <v>3123.2920000000004</v>
      </c>
      <c r="D22" s="985">
        <v>3079.8910000000001</v>
      </c>
      <c r="E22" s="475">
        <v>98.61040850487241</v>
      </c>
      <c r="F22" s="263"/>
    </row>
    <row r="23" spans="1:6" ht="15" customHeight="1" thickBot="1">
      <c r="A23" s="263"/>
      <c r="B23" s="805" t="s">
        <v>24</v>
      </c>
      <c r="C23" s="984">
        <v>12582.179999999995</v>
      </c>
      <c r="D23" s="984">
        <v>12321.679999999995</v>
      </c>
      <c r="E23" s="823">
        <v>97.929611561748445</v>
      </c>
      <c r="F23" s="263"/>
    </row>
    <row r="24" spans="1:6" ht="15" customHeight="1" thickBot="1">
      <c r="A24" s="263"/>
      <c r="B24" s="433" t="s">
        <v>25</v>
      </c>
      <c r="C24" s="985">
        <v>4929.54</v>
      </c>
      <c r="D24" s="985">
        <v>4857.57</v>
      </c>
      <c r="E24" s="475">
        <v>98.540026047055093</v>
      </c>
      <c r="F24" s="263"/>
    </row>
    <row r="25" spans="1:6" ht="15" customHeight="1" thickBot="1">
      <c r="A25" s="263"/>
      <c r="B25" s="805" t="s">
        <v>36</v>
      </c>
      <c r="C25" s="984">
        <v>9822.9000000000015</v>
      </c>
      <c r="D25" s="984">
        <v>9717.1689999999999</v>
      </c>
      <c r="E25" s="823">
        <v>98.923627441997766</v>
      </c>
      <c r="F25" s="263"/>
    </row>
    <row r="26" spans="1:6" ht="15" customHeight="1" thickBot="1">
      <c r="A26" s="263"/>
      <c r="B26" s="433" t="s">
        <v>225</v>
      </c>
      <c r="C26" s="985">
        <v>5049.21</v>
      </c>
      <c r="D26" s="985">
        <v>4937.13</v>
      </c>
      <c r="E26" s="475">
        <v>97.780246810887249</v>
      </c>
      <c r="F26" s="263"/>
    </row>
    <row r="27" spans="1:6" ht="15" customHeight="1" thickBot="1">
      <c r="A27" s="263"/>
      <c r="B27" s="805" t="s">
        <v>27</v>
      </c>
      <c r="C27" s="984">
        <v>3907.2599999999998</v>
      </c>
      <c r="D27" s="984">
        <v>3831.47</v>
      </c>
      <c r="E27" s="823">
        <v>98.060277534640647</v>
      </c>
      <c r="F27" s="263"/>
    </row>
    <row r="28" spans="1:6" ht="15" customHeight="1" thickBot="1">
      <c r="A28" s="263"/>
      <c r="B28" s="433" t="s">
        <v>28</v>
      </c>
      <c r="C28" s="985">
        <v>5470</v>
      </c>
      <c r="D28" s="985">
        <v>5051</v>
      </c>
      <c r="E28" s="475">
        <v>92.340036563071294</v>
      </c>
      <c r="F28" s="263"/>
    </row>
    <row r="29" spans="1:6" ht="15" customHeight="1" thickBot="1">
      <c r="A29" s="263"/>
      <c r="B29" s="805" t="s">
        <v>29</v>
      </c>
      <c r="C29" s="984">
        <v>10135.379999999999</v>
      </c>
      <c r="D29" s="984">
        <v>9914.3799999999992</v>
      </c>
      <c r="E29" s="823">
        <v>97.819519347079236</v>
      </c>
      <c r="F29" s="263"/>
    </row>
    <row r="30" spans="1:6" ht="15" customHeight="1" thickBot="1">
      <c r="A30" s="263"/>
      <c r="B30" s="433" t="s">
        <v>37</v>
      </c>
      <c r="C30" s="985">
        <v>12231.130000000001</v>
      </c>
      <c r="D30" s="985">
        <v>12025.62</v>
      </c>
      <c r="E30" s="475">
        <v>98.319779120980641</v>
      </c>
      <c r="F30" s="263"/>
    </row>
    <row r="31" spans="1:6" ht="15" customHeight="1" thickBot="1">
      <c r="A31" s="263"/>
      <c r="B31" s="805" t="s">
        <v>30</v>
      </c>
      <c r="C31" s="984">
        <v>10448</v>
      </c>
      <c r="D31" s="984">
        <v>10448</v>
      </c>
      <c r="E31" s="823">
        <v>100</v>
      </c>
      <c r="F31" s="263"/>
    </row>
    <row r="32" spans="1:6" ht="15" customHeight="1" thickBot="1">
      <c r="A32" s="263"/>
      <c r="B32" s="433" t="s">
        <v>31</v>
      </c>
      <c r="C32" s="985">
        <v>10986.24</v>
      </c>
      <c r="D32" s="985">
        <v>10947.91</v>
      </c>
      <c r="E32" s="475">
        <v>99.651109023651401</v>
      </c>
      <c r="F32" s="263"/>
    </row>
    <row r="33" spans="1:6" ht="15" customHeight="1" thickBot="1">
      <c r="A33" s="263"/>
      <c r="B33" s="805" t="s">
        <v>32</v>
      </c>
      <c r="C33" s="984">
        <v>2281.25</v>
      </c>
      <c r="D33" s="984">
        <v>2261.4</v>
      </c>
      <c r="E33" s="823">
        <v>99.129863013698639</v>
      </c>
      <c r="F33" s="263"/>
    </row>
    <row r="34" spans="1:6" ht="15" customHeight="1" thickBot="1">
      <c r="A34" s="263"/>
      <c r="B34" s="433" t="s">
        <v>262</v>
      </c>
      <c r="C34" s="985">
        <v>21795.32</v>
      </c>
      <c r="D34" s="985">
        <v>21350.95</v>
      </c>
      <c r="E34" s="475">
        <v>97.961167810337272</v>
      </c>
      <c r="F34" s="263"/>
    </row>
    <row r="35" spans="1:6" ht="15" customHeight="1" thickBot="1">
      <c r="A35" s="263"/>
      <c r="B35" s="805" t="s">
        <v>34</v>
      </c>
      <c r="C35" s="984">
        <v>6887.18</v>
      </c>
      <c r="D35" s="984">
        <v>6289.52</v>
      </c>
      <c r="E35" s="823">
        <v>91.322137652856469</v>
      </c>
      <c r="F35" s="263"/>
    </row>
    <row r="36" spans="1:6" ht="15" customHeight="1" thickBot="1">
      <c r="A36" s="263"/>
      <c r="B36" s="433" t="s">
        <v>35</v>
      </c>
      <c r="C36" s="985">
        <v>6401.54</v>
      </c>
      <c r="D36" s="985">
        <v>6319.04</v>
      </c>
      <c r="E36" s="475">
        <v>98.711247606044793</v>
      </c>
      <c r="F36" s="263"/>
    </row>
    <row r="37" spans="1:6" ht="18" customHeight="1" thickBot="1">
      <c r="A37" s="263"/>
      <c r="B37" s="812" t="s">
        <v>53</v>
      </c>
      <c r="C37" s="986">
        <v>328175.96099999995</v>
      </c>
      <c r="D37" s="986">
        <v>318647.46500000003</v>
      </c>
      <c r="E37" s="819">
        <v>97.09652834687671</v>
      </c>
      <c r="F37" s="263"/>
    </row>
    <row r="38" spans="1:6">
      <c r="A38" s="263"/>
      <c r="B38" s="1338" t="s">
        <v>324</v>
      </c>
      <c r="C38" s="1338"/>
      <c r="D38" s="1338"/>
      <c r="E38" s="1338"/>
      <c r="F38" s="263"/>
    </row>
    <row r="39" spans="1:6">
      <c r="C39" s="66"/>
      <c r="E39" s="68"/>
    </row>
    <row r="40" spans="1:6">
      <c r="E40" s="68"/>
    </row>
    <row r="44" spans="1:6">
      <c r="B44" s="242"/>
    </row>
  </sheetData>
  <sheetProtection password="CF4C" sheet="1" objects="1" scenarios="1"/>
  <customSheetViews>
    <customSheetView guid="{E9B43C8C-734F-433D-AD37-344F9303B5CC}" showPageBreaks="1" showGridLines="0" showRuler="0" topLeftCell="B3">
      <pane ySplit="15.2" topLeftCell="A33"/>
      <selection activeCell="D40" sqref="D40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1"/>
      <headerFooter alignWithMargins="0"/>
    </customSheetView>
    <customSheetView guid="{9BF398E0-33D8-4E64-94A2-9B7C822C8383}" showGridLines="0" showRuler="0">
      <pane ySplit="15" topLeftCell="A31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2"/>
      <headerFooter alignWithMargins="0"/>
    </customSheetView>
    <customSheetView guid="{9E220BD5-A526-40BD-8239-3A0461590922}" scale="60" showPageBreaks="1" showGridLines="0" printArea="1" view="pageBreakPreview" showRuler="0">
      <pane ySplit="15" topLeftCell="A35"/>
      <selection activeCell="B12" sqref="B12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3"/>
      <headerFooter alignWithMargins="0"/>
    </customSheetView>
  </customSheetViews>
  <mergeCells count="5">
    <mergeCell ref="B2:E2"/>
    <mergeCell ref="B3:B4"/>
    <mergeCell ref="C3:D3"/>
    <mergeCell ref="E3:E4"/>
    <mergeCell ref="B38:E38"/>
  </mergeCells>
  <phoneticPr fontId="9" type="noConversion"/>
  <printOptions horizontalCentered="1"/>
  <pageMargins left="0.19685039370078741" right="0.19685039370078741" top="0.59055118110236227" bottom="0.59055118110236227" header="0.39370078740157483" footer="0.39370078740157483"/>
  <pageSetup orientation="portrait" r:id="rId4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B1:R84"/>
  <sheetViews>
    <sheetView showGridLines="0" zoomScale="75" zoomScaleNormal="75" workbookViewId="0">
      <selection activeCell="N1" sqref="N1:N1048576"/>
    </sheetView>
  </sheetViews>
  <sheetFormatPr baseColWidth="10" defaultRowHeight="12.75"/>
  <cols>
    <col min="1" max="2" width="2.85546875" style="533" customWidth="1"/>
    <col min="3" max="3" width="11.42578125" style="533"/>
    <col min="4" max="4" width="13" style="533" customWidth="1"/>
    <col min="5" max="5" width="15.140625" style="533" customWidth="1"/>
    <col min="6" max="6" width="9.85546875" style="533" customWidth="1"/>
    <col min="7" max="7" width="30.42578125" style="533" bestFit="1" customWidth="1"/>
    <col min="8" max="8" width="8.28515625" style="533" customWidth="1"/>
    <col min="9" max="9" width="13.140625" style="533" customWidth="1"/>
    <col min="10" max="11" width="19.5703125" style="533" bestFit="1" customWidth="1"/>
    <col min="12" max="12" width="11.5703125" style="533" bestFit="1" customWidth="1"/>
    <col min="13" max="15" width="11.42578125" style="533"/>
    <col min="16" max="16" width="4" style="533" customWidth="1"/>
    <col min="17" max="17" width="2.85546875" style="533" customWidth="1"/>
    <col min="18" max="16384" width="11.42578125" style="533"/>
  </cols>
  <sheetData>
    <row r="1" spans="3:18" ht="15">
      <c r="C1" s="977"/>
      <c r="D1" s="978"/>
      <c r="E1" s="978"/>
      <c r="F1" s="978"/>
      <c r="G1" s="612"/>
      <c r="H1" s="612"/>
      <c r="I1" s="612"/>
      <c r="J1" s="612"/>
      <c r="K1" s="612"/>
      <c r="L1" s="612"/>
      <c r="M1" s="612"/>
      <c r="N1" s="612"/>
    </row>
    <row r="2" spans="3:18" ht="3.75" customHeight="1"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</row>
    <row r="3" spans="3:18" ht="41.25" customHeight="1">
      <c r="C3" s="1343" t="s">
        <v>589</v>
      </c>
      <c r="D3" s="1344"/>
      <c r="E3" s="1344"/>
      <c r="F3" s="1344"/>
      <c r="G3" s="1344"/>
      <c r="H3" s="1344"/>
      <c r="I3" s="1344"/>
      <c r="J3" s="1344"/>
      <c r="K3" s="1344"/>
      <c r="L3" s="1344"/>
      <c r="M3" s="1344"/>
      <c r="N3" s="1344"/>
      <c r="O3" s="1344"/>
      <c r="P3" s="979"/>
      <c r="Q3" s="979"/>
      <c r="R3" s="979"/>
    </row>
    <row r="4" spans="3:18">
      <c r="C4" s="980"/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1"/>
      <c r="P4" s="981"/>
      <c r="Q4" s="981"/>
      <c r="R4" s="981"/>
    </row>
    <row r="5" spans="3:18">
      <c r="C5" s="980"/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1"/>
      <c r="P5" s="981"/>
      <c r="Q5" s="981"/>
      <c r="R5" s="981"/>
    </row>
    <row r="6" spans="3:18"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1"/>
      <c r="P6" s="981"/>
      <c r="Q6" s="981"/>
      <c r="R6" s="981"/>
    </row>
    <row r="7" spans="3:18">
      <c r="C7" s="980"/>
      <c r="D7" s="980"/>
      <c r="E7" s="980"/>
      <c r="F7" s="980"/>
      <c r="G7" s="980"/>
      <c r="H7" s="980"/>
      <c r="I7" s="980"/>
      <c r="J7" s="980"/>
      <c r="K7" s="980"/>
      <c r="L7" s="980"/>
      <c r="M7" s="980"/>
      <c r="N7" s="980"/>
      <c r="O7" s="981"/>
      <c r="P7" s="981"/>
      <c r="Q7" s="981"/>
      <c r="R7" s="981"/>
    </row>
    <row r="8" spans="3:18">
      <c r="C8" s="980"/>
      <c r="D8" s="980"/>
      <c r="E8" s="980"/>
      <c r="F8" s="980"/>
      <c r="G8" s="980"/>
      <c r="H8" s="980"/>
      <c r="I8" s="980"/>
      <c r="J8" s="980"/>
      <c r="K8" s="980"/>
      <c r="L8" s="980"/>
      <c r="M8" s="980"/>
      <c r="N8" s="980"/>
      <c r="O8" s="981"/>
      <c r="P8" s="981"/>
      <c r="Q8" s="981"/>
      <c r="R8" s="981"/>
    </row>
    <row r="9" spans="3:18">
      <c r="C9" s="980"/>
      <c r="D9" s="980"/>
      <c r="E9" s="980"/>
      <c r="F9" s="980"/>
      <c r="G9" s="980"/>
      <c r="H9" s="980"/>
      <c r="I9" s="980"/>
      <c r="J9" s="980"/>
      <c r="K9" s="980"/>
      <c r="L9" s="980"/>
      <c r="M9" s="980"/>
      <c r="N9" s="980"/>
      <c r="O9" s="981"/>
      <c r="P9" s="981"/>
      <c r="Q9" s="981"/>
      <c r="R9" s="981"/>
    </row>
    <row r="10" spans="3:18" ht="20.100000000000001" customHeight="1">
      <c r="C10" s="980"/>
      <c r="D10" s="980"/>
      <c r="E10" s="980"/>
      <c r="F10" s="980"/>
      <c r="G10" s="980"/>
      <c r="H10" s="980"/>
      <c r="I10" s="980"/>
      <c r="J10" s="980"/>
      <c r="K10" s="980"/>
      <c r="L10" s="980"/>
      <c r="M10" s="980"/>
      <c r="N10" s="980"/>
      <c r="O10" s="981"/>
      <c r="P10" s="981"/>
      <c r="Q10" s="981"/>
      <c r="R10" s="981"/>
    </row>
    <row r="11" spans="3:18" ht="20.100000000000001" customHeight="1">
      <c r="C11" s="980"/>
      <c r="D11" s="980"/>
      <c r="E11" s="980"/>
      <c r="F11" s="980"/>
      <c r="G11" s="980"/>
      <c r="H11" s="980"/>
      <c r="I11" s="980"/>
      <c r="J11" s="980"/>
      <c r="K11" s="980"/>
      <c r="L11" s="980"/>
      <c r="M11" s="980"/>
      <c r="N11" s="980"/>
      <c r="O11" s="981"/>
      <c r="P11" s="981"/>
      <c r="Q11" s="981"/>
      <c r="R11" s="981"/>
    </row>
    <row r="12" spans="3:18" ht="20.100000000000001" customHeight="1">
      <c r="C12" s="980"/>
      <c r="D12" s="980"/>
      <c r="E12" s="980"/>
      <c r="F12" s="980"/>
      <c r="G12" s="980"/>
      <c r="H12" s="980"/>
      <c r="I12" s="980"/>
      <c r="J12" s="980"/>
      <c r="K12" s="980"/>
      <c r="L12" s="980"/>
      <c r="M12" s="980"/>
      <c r="N12" s="980"/>
      <c r="O12" s="981"/>
      <c r="P12" s="981"/>
      <c r="Q12" s="981"/>
      <c r="R12" s="981"/>
    </row>
    <row r="13" spans="3:18" ht="20.100000000000001" customHeight="1">
      <c r="C13" s="980"/>
      <c r="D13" s="980"/>
      <c r="E13" s="980"/>
      <c r="F13" s="980"/>
      <c r="G13" s="980"/>
      <c r="H13" s="980"/>
      <c r="I13" s="980"/>
      <c r="J13" s="980"/>
      <c r="K13" s="980"/>
      <c r="L13" s="980"/>
      <c r="M13" s="980"/>
      <c r="N13" s="980"/>
      <c r="O13" s="981"/>
      <c r="P13" s="981"/>
      <c r="Q13" s="981"/>
      <c r="R13" s="981"/>
    </row>
    <row r="14" spans="3:18" ht="20.100000000000001" customHeight="1">
      <c r="C14" s="980"/>
      <c r="D14" s="980"/>
      <c r="E14" s="980"/>
      <c r="F14" s="980"/>
      <c r="G14" s="980"/>
      <c r="H14" s="980"/>
      <c r="I14" s="980"/>
      <c r="J14" s="980"/>
      <c r="K14" s="980"/>
      <c r="L14" s="980"/>
      <c r="M14" s="980"/>
      <c r="N14" s="980"/>
      <c r="O14" s="981"/>
      <c r="P14" s="981"/>
      <c r="Q14" s="981"/>
      <c r="R14" s="981"/>
    </row>
    <row r="15" spans="3:18" ht="20.100000000000001" customHeight="1">
      <c r="C15" s="980"/>
      <c r="D15" s="980"/>
      <c r="E15" s="980"/>
      <c r="F15" s="980"/>
      <c r="G15" s="980"/>
      <c r="H15" s="980"/>
      <c r="I15" s="980"/>
      <c r="J15" s="980"/>
      <c r="K15" s="980"/>
      <c r="L15" s="980"/>
      <c r="M15" s="980"/>
      <c r="N15" s="980"/>
      <c r="O15" s="981"/>
      <c r="P15" s="981"/>
      <c r="Q15" s="981"/>
      <c r="R15" s="981"/>
    </row>
    <row r="16" spans="3:18" ht="20.100000000000001" customHeight="1">
      <c r="C16" s="980"/>
      <c r="D16" s="980"/>
      <c r="E16" s="980"/>
      <c r="F16" s="980"/>
      <c r="G16" s="980"/>
      <c r="H16" s="980"/>
      <c r="I16" s="980"/>
      <c r="J16" s="980"/>
      <c r="K16" s="980"/>
      <c r="L16" s="980"/>
      <c r="M16" s="980"/>
      <c r="N16" s="980"/>
      <c r="O16" s="981"/>
      <c r="P16" s="981"/>
      <c r="Q16" s="981"/>
      <c r="R16" s="981"/>
    </row>
    <row r="17" spans="3:18" ht="20.100000000000001" customHeight="1">
      <c r="C17" s="980"/>
      <c r="D17" s="980"/>
      <c r="E17" s="980"/>
      <c r="F17" s="980"/>
      <c r="G17" s="980"/>
      <c r="H17" s="980"/>
      <c r="I17" s="980"/>
      <c r="J17" s="980"/>
      <c r="K17" s="980"/>
      <c r="L17" s="980"/>
      <c r="M17" s="980"/>
      <c r="N17" s="980"/>
      <c r="O17" s="981"/>
      <c r="P17" s="981"/>
      <c r="Q17" s="981"/>
      <c r="R17" s="981"/>
    </row>
    <row r="18" spans="3:18" ht="20.100000000000001" customHeight="1">
      <c r="C18" s="980"/>
      <c r="D18" s="980"/>
      <c r="E18" s="980"/>
      <c r="F18" s="980"/>
      <c r="G18" s="980"/>
      <c r="H18" s="980"/>
      <c r="I18" s="980"/>
      <c r="J18" s="980"/>
      <c r="K18" s="980"/>
      <c r="L18" s="980"/>
      <c r="M18" s="980"/>
      <c r="N18" s="980"/>
      <c r="O18" s="981"/>
      <c r="P18" s="981"/>
      <c r="Q18" s="981"/>
      <c r="R18" s="981"/>
    </row>
    <row r="19" spans="3:18" ht="20.100000000000001" customHeight="1"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1"/>
      <c r="P19" s="981"/>
      <c r="Q19" s="981"/>
      <c r="R19" s="981"/>
    </row>
    <row r="20" spans="3:18" ht="20.100000000000001" customHeight="1">
      <c r="C20" s="980"/>
      <c r="D20" s="980"/>
      <c r="E20" s="980"/>
      <c r="F20" s="980"/>
      <c r="G20" s="980"/>
      <c r="H20" s="980"/>
      <c r="I20" s="980"/>
      <c r="J20" s="980"/>
      <c r="K20" s="980"/>
      <c r="L20" s="980"/>
      <c r="M20" s="980"/>
      <c r="N20" s="980"/>
      <c r="O20" s="981"/>
      <c r="P20" s="981"/>
      <c r="Q20" s="981"/>
      <c r="R20" s="981"/>
    </row>
    <row r="21" spans="3:18" ht="20.100000000000001" customHeight="1">
      <c r="C21" s="980"/>
      <c r="D21" s="980"/>
      <c r="E21" s="980"/>
      <c r="F21" s="980"/>
      <c r="G21" s="980"/>
      <c r="H21" s="980"/>
      <c r="I21" s="980"/>
      <c r="J21" s="980"/>
      <c r="K21" s="980"/>
      <c r="L21" s="980"/>
      <c r="M21" s="980"/>
      <c r="N21" s="980"/>
      <c r="O21" s="981"/>
      <c r="P21" s="981"/>
      <c r="Q21" s="981"/>
      <c r="R21" s="981"/>
    </row>
    <row r="22" spans="3:18" ht="20.100000000000001" customHeight="1">
      <c r="C22" s="980"/>
      <c r="D22" s="980"/>
      <c r="E22" s="980"/>
      <c r="F22" s="980"/>
      <c r="G22" s="980"/>
      <c r="H22" s="980"/>
      <c r="I22" s="980"/>
      <c r="J22" s="980"/>
      <c r="K22" s="980"/>
      <c r="L22" s="980"/>
      <c r="M22" s="980"/>
      <c r="N22" s="980"/>
      <c r="O22" s="981"/>
      <c r="P22" s="981"/>
      <c r="Q22" s="981"/>
      <c r="R22" s="981"/>
    </row>
    <row r="23" spans="3:18" ht="20.100000000000001" customHeight="1">
      <c r="C23" s="982"/>
      <c r="D23" s="980"/>
      <c r="E23" s="980"/>
      <c r="F23" s="980"/>
      <c r="G23" s="980"/>
      <c r="H23" s="980"/>
      <c r="I23" s="980"/>
      <c r="J23" s="980"/>
      <c r="K23" s="980"/>
      <c r="L23" s="980"/>
      <c r="M23" s="980"/>
      <c r="N23" s="980"/>
      <c r="O23" s="981"/>
      <c r="P23" s="981"/>
      <c r="Q23" s="981"/>
      <c r="R23" s="981"/>
    </row>
    <row r="24" spans="3:18" ht="20.100000000000001" customHeight="1">
      <c r="C24" s="980"/>
      <c r="D24" s="980"/>
      <c r="E24" s="980"/>
      <c r="F24" s="980"/>
      <c r="G24" s="980"/>
      <c r="H24" s="980"/>
      <c r="I24" s="980"/>
      <c r="J24" s="980"/>
      <c r="K24" s="980"/>
      <c r="L24" s="980"/>
      <c r="M24" s="980"/>
      <c r="N24" s="980"/>
      <c r="O24" s="981"/>
      <c r="P24" s="981"/>
      <c r="Q24" s="981"/>
      <c r="R24" s="981"/>
    </row>
    <row r="25" spans="3:18" ht="20.100000000000001" customHeight="1">
      <c r="C25" s="980"/>
      <c r="D25" s="980"/>
      <c r="E25" s="980"/>
      <c r="F25" s="980"/>
      <c r="G25" s="980"/>
      <c r="H25" s="980"/>
      <c r="I25" s="980"/>
      <c r="J25" s="980"/>
      <c r="K25" s="980"/>
      <c r="L25" s="980"/>
      <c r="M25" s="980"/>
      <c r="N25" s="980"/>
      <c r="O25" s="981"/>
      <c r="P25" s="981"/>
      <c r="Q25" s="981"/>
      <c r="R25" s="981"/>
    </row>
    <row r="26" spans="3:18" ht="20.100000000000001" customHeight="1">
      <c r="C26" s="980"/>
      <c r="D26" s="980"/>
      <c r="E26" s="980"/>
      <c r="F26" s="980"/>
      <c r="G26" s="980"/>
      <c r="H26" s="980"/>
      <c r="I26" s="980"/>
      <c r="J26" s="980"/>
      <c r="K26" s="980"/>
      <c r="L26" s="980"/>
      <c r="M26" s="980"/>
      <c r="N26" s="980"/>
      <c r="O26" s="981"/>
      <c r="P26" s="981"/>
      <c r="Q26" s="981"/>
      <c r="R26" s="981"/>
    </row>
    <row r="27" spans="3:18">
      <c r="C27" s="980"/>
      <c r="D27" s="980"/>
      <c r="E27" s="980"/>
      <c r="F27" s="980"/>
      <c r="G27" s="980"/>
      <c r="H27" s="980"/>
      <c r="I27" s="980"/>
      <c r="J27" s="980"/>
      <c r="K27" s="980"/>
      <c r="L27" s="980"/>
      <c r="M27" s="980"/>
      <c r="N27" s="980"/>
      <c r="O27" s="981"/>
      <c r="P27" s="981"/>
      <c r="Q27" s="981"/>
      <c r="R27" s="981"/>
    </row>
    <row r="28" spans="3:18">
      <c r="C28" s="980"/>
      <c r="D28" s="980"/>
      <c r="E28" s="980"/>
      <c r="F28" s="980"/>
      <c r="G28" s="980"/>
      <c r="H28" s="980"/>
      <c r="I28" s="980"/>
      <c r="J28" s="980"/>
      <c r="K28" s="980"/>
      <c r="L28" s="980"/>
      <c r="M28" s="980"/>
      <c r="N28" s="980"/>
      <c r="O28" s="981"/>
      <c r="P28" s="981"/>
      <c r="Q28" s="981"/>
      <c r="R28" s="981"/>
    </row>
    <row r="29" spans="3:18">
      <c r="C29" s="980"/>
      <c r="D29" s="980"/>
      <c r="E29" s="980"/>
      <c r="F29" s="980"/>
      <c r="G29" s="980"/>
      <c r="H29" s="980"/>
      <c r="I29" s="980"/>
      <c r="J29" s="980"/>
      <c r="K29" s="980"/>
      <c r="L29" s="980"/>
      <c r="M29" s="980"/>
      <c r="N29" s="980"/>
      <c r="O29" s="981"/>
      <c r="P29" s="981"/>
      <c r="Q29" s="981"/>
      <c r="R29" s="981"/>
    </row>
    <row r="30" spans="3:18">
      <c r="C30" s="982"/>
      <c r="D30" s="980"/>
      <c r="E30" s="980"/>
      <c r="F30" s="980"/>
      <c r="G30" s="980"/>
      <c r="H30" s="980"/>
      <c r="I30" s="980"/>
      <c r="J30" s="980"/>
      <c r="K30" s="980"/>
      <c r="L30" s="980"/>
      <c r="M30" s="980"/>
      <c r="N30" s="980"/>
      <c r="O30" s="981"/>
      <c r="P30" s="981"/>
      <c r="Q30" s="981"/>
      <c r="R30" s="981"/>
    </row>
    <row r="31" spans="3:18">
      <c r="C31" s="980"/>
      <c r="D31" s="980"/>
      <c r="E31" s="980"/>
      <c r="F31" s="980"/>
      <c r="G31" s="980"/>
      <c r="H31" s="980"/>
      <c r="I31" s="980"/>
      <c r="J31" s="980"/>
      <c r="K31" s="980"/>
      <c r="L31" s="980"/>
      <c r="M31" s="980"/>
      <c r="N31" s="980"/>
      <c r="O31" s="981"/>
      <c r="P31" s="981"/>
      <c r="Q31" s="981"/>
      <c r="R31" s="981"/>
    </row>
    <row r="32" spans="3:18">
      <c r="C32" s="980"/>
      <c r="D32" s="980"/>
      <c r="E32" s="980"/>
      <c r="F32" s="980"/>
      <c r="G32" s="980"/>
      <c r="H32" s="980"/>
      <c r="I32" s="980"/>
      <c r="J32" s="980"/>
      <c r="K32" s="980"/>
      <c r="L32" s="980"/>
      <c r="M32" s="980"/>
      <c r="N32" s="980"/>
      <c r="O32" s="981"/>
      <c r="P32" s="981"/>
      <c r="Q32" s="981"/>
      <c r="R32" s="981"/>
    </row>
    <row r="33" spans="2:18">
      <c r="C33" s="983"/>
      <c r="D33" s="980"/>
      <c r="E33" s="980"/>
      <c r="F33" s="980"/>
      <c r="G33" s="980"/>
      <c r="H33" s="980"/>
      <c r="I33" s="980"/>
      <c r="J33" s="980"/>
      <c r="K33" s="980"/>
      <c r="L33" s="980"/>
      <c r="M33" s="980"/>
      <c r="N33" s="980"/>
      <c r="O33" s="981"/>
      <c r="P33" s="981"/>
      <c r="Q33" s="981"/>
      <c r="R33" s="981"/>
    </row>
    <row r="34" spans="2:18">
      <c r="C34" s="980"/>
      <c r="D34" s="980"/>
      <c r="E34" s="980"/>
      <c r="F34" s="980"/>
      <c r="G34" s="980"/>
      <c r="H34" s="980"/>
      <c r="I34" s="980"/>
      <c r="J34" s="980"/>
      <c r="K34" s="980"/>
      <c r="L34" s="980"/>
      <c r="M34" s="980"/>
      <c r="N34" s="980"/>
      <c r="O34" s="981"/>
      <c r="P34" s="981"/>
      <c r="Q34" s="981"/>
      <c r="R34" s="981"/>
    </row>
    <row r="35" spans="2:18">
      <c r="C35" s="980"/>
      <c r="D35" s="980"/>
      <c r="E35" s="980"/>
      <c r="F35" s="980"/>
      <c r="G35" s="980"/>
      <c r="H35" s="980"/>
      <c r="I35" s="980"/>
      <c r="J35" s="980"/>
      <c r="K35" s="980"/>
      <c r="L35" s="980"/>
      <c r="M35" s="980"/>
      <c r="N35" s="980"/>
      <c r="O35" s="981"/>
      <c r="P35" s="981"/>
      <c r="Q35" s="981"/>
      <c r="R35" s="981"/>
    </row>
    <row r="36" spans="2:18">
      <c r="C36" s="980"/>
      <c r="D36" s="980"/>
      <c r="E36" s="980"/>
      <c r="F36" s="980"/>
      <c r="G36" s="980"/>
      <c r="H36" s="980"/>
      <c r="I36" s="980"/>
      <c r="J36" s="980"/>
      <c r="K36" s="980"/>
      <c r="L36" s="980"/>
      <c r="M36" s="980"/>
      <c r="N36" s="980"/>
      <c r="O36" s="981"/>
      <c r="P36" s="981"/>
      <c r="Q36" s="981"/>
      <c r="R36" s="981"/>
    </row>
    <row r="37" spans="2:18">
      <c r="C37" s="980"/>
      <c r="D37" s="980"/>
      <c r="E37" s="980"/>
      <c r="F37" s="980"/>
      <c r="G37" s="980"/>
      <c r="H37" s="980"/>
      <c r="I37" s="980"/>
      <c r="J37" s="980"/>
      <c r="K37" s="980"/>
      <c r="L37" s="980"/>
      <c r="M37" s="980"/>
      <c r="N37" s="980"/>
      <c r="O37" s="981"/>
      <c r="P37" s="981"/>
      <c r="Q37" s="981"/>
      <c r="R37" s="981"/>
    </row>
    <row r="38" spans="2:18">
      <c r="C38" s="981"/>
      <c r="D38" s="981"/>
      <c r="E38" s="981"/>
      <c r="F38" s="981"/>
      <c r="G38" s="981"/>
      <c r="H38" s="981"/>
      <c r="I38" s="981"/>
      <c r="J38" s="981"/>
      <c r="K38" s="981"/>
      <c r="L38" s="981"/>
      <c r="M38" s="981"/>
      <c r="N38" s="981"/>
      <c r="O38" s="981"/>
      <c r="P38" s="981"/>
      <c r="Q38" s="981"/>
      <c r="R38" s="981"/>
    </row>
    <row r="39" spans="2:18">
      <c r="D39" s="981"/>
      <c r="E39" s="981"/>
      <c r="F39" s="981"/>
      <c r="G39" s="981"/>
      <c r="H39" s="981"/>
      <c r="I39" s="981"/>
      <c r="J39" s="981"/>
      <c r="K39" s="981"/>
      <c r="L39" s="981"/>
      <c r="M39" s="981"/>
      <c r="N39" s="981"/>
      <c r="O39" s="981"/>
      <c r="P39" s="981"/>
      <c r="Q39" s="981"/>
      <c r="R39" s="981"/>
    </row>
    <row r="40" spans="2:18">
      <c r="B40" s="612"/>
      <c r="C40" s="980"/>
      <c r="D40" s="980"/>
      <c r="E40" s="980"/>
      <c r="F40" s="980"/>
      <c r="G40" s="980"/>
      <c r="H40" s="980"/>
      <c r="I40" s="980"/>
      <c r="J40" s="980"/>
      <c r="K40" s="980"/>
      <c r="L40" s="980"/>
      <c r="M40" s="980"/>
      <c r="N40" s="980"/>
      <c r="O40" s="980"/>
      <c r="P40" s="981"/>
      <c r="Q40" s="981"/>
      <c r="R40" s="981"/>
    </row>
    <row r="41" spans="2:18">
      <c r="B41" s="612"/>
      <c r="C41" s="612"/>
      <c r="D41" s="980"/>
      <c r="E41" s="980"/>
      <c r="F41" s="980"/>
      <c r="G41" s="980"/>
      <c r="H41" s="980"/>
      <c r="I41" s="980"/>
      <c r="J41" s="980"/>
      <c r="K41" s="980"/>
      <c r="L41" s="980"/>
      <c r="M41" s="980"/>
      <c r="N41" s="980"/>
      <c r="O41" s="980"/>
      <c r="P41" s="981"/>
      <c r="Q41" s="981"/>
      <c r="R41" s="981"/>
    </row>
    <row r="42" spans="2:18">
      <c r="B42" s="612"/>
      <c r="C42" s="980"/>
      <c r="D42" s="980"/>
      <c r="E42" s="980"/>
      <c r="F42" s="980"/>
      <c r="G42" s="980"/>
      <c r="H42" s="980"/>
      <c r="I42" s="980"/>
      <c r="J42" s="980"/>
      <c r="K42" s="980"/>
      <c r="L42" s="980"/>
      <c r="M42" s="980"/>
      <c r="N42" s="980"/>
      <c r="O42" s="980"/>
      <c r="P42" s="981"/>
      <c r="Q42" s="981"/>
      <c r="R42" s="981"/>
    </row>
    <row r="43" spans="2:18">
      <c r="B43" s="612"/>
      <c r="C43" s="1041"/>
      <c r="D43" s="980"/>
      <c r="E43" s="980"/>
      <c r="F43" s="980"/>
      <c r="G43" s="980"/>
      <c r="H43" s="980"/>
      <c r="I43" s="980"/>
      <c r="J43" s="980"/>
      <c r="K43" s="980"/>
      <c r="L43" s="980"/>
      <c r="M43" s="980"/>
      <c r="N43" s="980"/>
      <c r="O43" s="980"/>
    </row>
    <row r="44" spans="2:18">
      <c r="B44" s="612"/>
      <c r="C44" s="980"/>
      <c r="D44" s="980"/>
      <c r="E44" s="980"/>
      <c r="F44" s="980"/>
      <c r="G44" s="980"/>
      <c r="H44" s="980"/>
      <c r="I44" s="980"/>
      <c r="J44" s="980"/>
      <c r="K44" s="980"/>
      <c r="L44" s="980"/>
      <c r="M44" s="980"/>
      <c r="N44" s="980"/>
      <c r="O44" s="980"/>
    </row>
    <row r="45" spans="2:18">
      <c r="B45" s="612"/>
      <c r="C45" s="980"/>
      <c r="D45" s="980"/>
      <c r="E45" s="980"/>
      <c r="F45" s="980"/>
      <c r="G45" s="980"/>
      <c r="H45" s="980"/>
      <c r="I45" s="980"/>
      <c r="J45" s="980"/>
      <c r="K45" s="980"/>
      <c r="L45" s="980"/>
      <c r="M45" s="980"/>
      <c r="N45" s="980"/>
      <c r="O45" s="980"/>
    </row>
    <row r="46" spans="2:18">
      <c r="B46" s="612"/>
      <c r="C46" s="612"/>
      <c r="D46" s="612"/>
      <c r="E46" s="612"/>
      <c r="F46" s="612"/>
      <c r="G46" s="1042"/>
      <c r="H46" s="612"/>
      <c r="I46" s="279"/>
      <c r="J46" s="279"/>
      <c r="K46" s="612"/>
      <c r="L46" s="612"/>
      <c r="M46" s="612"/>
      <c r="N46" s="980"/>
      <c r="O46" s="980"/>
    </row>
    <row r="47" spans="2:18">
      <c r="B47" s="612"/>
      <c r="C47" s="612"/>
      <c r="D47" s="612"/>
      <c r="E47" s="612"/>
      <c r="F47" s="612"/>
      <c r="G47" s="1042"/>
      <c r="H47" s="612"/>
      <c r="I47" s="1043"/>
      <c r="J47" s="279"/>
      <c r="K47" s="612"/>
      <c r="L47" s="612"/>
      <c r="M47" s="612"/>
      <c r="N47" s="980"/>
      <c r="O47" s="980"/>
    </row>
    <row r="48" spans="2:18" ht="15">
      <c r="B48" s="612"/>
      <c r="C48" s="612"/>
      <c r="D48" s="1044"/>
      <c r="E48" s="1044"/>
      <c r="F48" s="1044"/>
      <c r="G48" s="1045"/>
      <c r="H48" s="612"/>
      <c r="N48" s="612"/>
      <c r="O48" s="612"/>
    </row>
    <row r="49" spans="2:15">
      <c r="B49" s="612"/>
      <c r="C49" s="612"/>
      <c r="D49" s="1046"/>
      <c r="E49" s="1047"/>
      <c r="F49" s="1047"/>
      <c r="G49" s="1048"/>
      <c r="H49" s="612"/>
      <c r="N49" s="612"/>
      <c r="O49" s="612"/>
    </row>
    <row r="50" spans="2:15">
      <c r="B50" s="612"/>
      <c r="C50" s="612"/>
      <c r="D50" s="1046"/>
      <c r="E50" s="1047"/>
      <c r="F50" s="1047"/>
      <c r="G50" s="1048"/>
      <c r="H50" s="612"/>
      <c r="N50" s="612"/>
      <c r="O50" s="612"/>
    </row>
    <row r="51" spans="2:15">
      <c r="B51" s="612"/>
      <c r="C51" s="612"/>
      <c r="D51" s="1046"/>
      <c r="E51" s="1047"/>
      <c r="F51" s="1047"/>
      <c r="G51" s="1048"/>
      <c r="H51" s="612"/>
      <c r="N51" s="612"/>
      <c r="O51" s="612"/>
    </row>
    <row r="52" spans="2:15">
      <c r="B52" s="612"/>
      <c r="C52" s="612"/>
      <c r="D52" s="1046"/>
      <c r="E52" s="1047"/>
      <c r="F52" s="1047"/>
      <c r="G52" s="1048"/>
      <c r="H52" s="612"/>
      <c r="N52" s="612"/>
      <c r="O52" s="612"/>
    </row>
    <row r="53" spans="2:15">
      <c r="B53" s="612"/>
      <c r="C53" s="612"/>
      <c r="D53" s="1046"/>
      <c r="E53" s="1047"/>
      <c r="F53" s="1047"/>
      <c r="G53" s="1048"/>
      <c r="H53" s="612"/>
      <c r="N53" s="612"/>
      <c r="O53" s="612"/>
    </row>
    <row r="54" spans="2:15">
      <c r="B54" s="612"/>
      <c r="C54" s="612"/>
      <c r="D54" s="1046"/>
      <c r="E54" s="1047"/>
      <c r="F54" s="1047"/>
      <c r="G54" s="1048"/>
      <c r="H54" s="612"/>
      <c r="N54" s="612"/>
      <c r="O54" s="612"/>
    </row>
    <row r="55" spans="2:15">
      <c r="B55" s="612"/>
      <c r="C55" s="612"/>
      <c r="D55" s="1046"/>
      <c r="E55" s="1047"/>
      <c r="F55" s="1047"/>
      <c r="G55" s="1048"/>
      <c r="H55" s="612"/>
      <c r="N55" s="612"/>
      <c r="O55" s="612"/>
    </row>
    <row r="56" spans="2:15">
      <c r="B56" s="612"/>
      <c r="C56" s="612"/>
      <c r="D56" s="1046"/>
      <c r="E56" s="1047"/>
      <c r="F56" s="1047"/>
      <c r="G56" s="1048"/>
      <c r="H56" s="612"/>
      <c r="N56" s="612"/>
      <c r="O56" s="612"/>
    </row>
    <row r="57" spans="2:15">
      <c r="B57" s="612"/>
      <c r="C57" s="612"/>
      <c r="D57" s="1046"/>
      <c r="E57" s="1047"/>
      <c r="F57" s="1047"/>
      <c r="G57" s="1048"/>
      <c r="H57" s="612"/>
      <c r="N57" s="612"/>
      <c r="O57" s="612"/>
    </row>
    <row r="58" spans="2:15">
      <c r="B58" s="612"/>
      <c r="C58" s="612"/>
      <c r="D58" s="1046"/>
      <c r="E58" s="1047"/>
      <c r="F58" s="1047"/>
      <c r="G58" s="1048"/>
      <c r="H58" s="612"/>
      <c r="N58" s="612"/>
      <c r="O58" s="612"/>
    </row>
    <row r="59" spans="2:15">
      <c r="B59" s="612"/>
      <c r="C59" s="612"/>
      <c r="D59" s="1046"/>
      <c r="E59" s="1047"/>
      <c r="F59" s="1047"/>
      <c r="G59" s="1048"/>
      <c r="H59" s="612"/>
      <c r="N59" s="612"/>
      <c r="O59" s="612"/>
    </row>
    <row r="60" spans="2:15">
      <c r="B60" s="612"/>
      <c r="C60" s="612"/>
      <c r="D60" s="1046"/>
      <c r="E60" s="1047"/>
      <c r="F60" s="1047"/>
      <c r="G60" s="1048"/>
      <c r="H60" s="612"/>
      <c r="N60" s="612"/>
      <c r="O60" s="612"/>
    </row>
    <row r="61" spans="2:15">
      <c r="B61" s="612"/>
      <c r="C61" s="612"/>
      <c r="D61" s="1046"/>
      <c r="E61" s="1047"/>
      <c r="F61" s="1047"/>
      <c r="G61" s="1048"/>
      <c r="H61" s="612"/>
      <c r="N61" s="612"/>
      <c r="O61" s="612"/>
    </row>
    <row r="62" spans="2:15">
      <c r="B62" s="612"/>
      <c r="C62" s="612"/>
      <c r="D62" s="1046"/>
      <c r="E62" s="1047"/>
      <c r="F62" s="1047"/>
      <c r="G62" s="1048"/>
      <c r="H62" s="612"/>
      <c r="N62" s="612"/>
      <c r="O62" s="612"/>
    </row>
    <row r="63" spans="2:15">
      <c r="B63" s="612"/>
      <c r="C63" s="612"/>
      <c r="D63" s="1046"/>
      <c r="E63" s="1047"/>
      <c r="F63" s="1047"/>
      <c r="G63" s="1048"/>
      <c r="H63" s="612"/>
      <c r="N63" s="612"/>
      <c r="O63" s="612"/>
    </row>
    <row r="64" spans="2:15">
      <c r="B64" s="612"/>
      <c r="C64" s="612"/>
      <c r="D64" s="1046"/>
      <c r="E64" s="1047"/>
      <c r="F64" s="1047"/>
      <c r="G64" s="1048"/>
      <c r="H64" s="612"/>
      <c r="N64" s="612"/>
      <c r="O64" s="612"/>
    </row>
    <row r="65" spans="2:15">
      <c r="B65" s="612"/>
      <c r="C65" s="612"/>
      <c r="D65" s="1046"/>
      <c r="E65" s="1047"/>
      <c r="F65" s="1047"/>
      <c r="G65" s="1048"/>
      <c r="H65" s="612"/>
      <c r="N65" s="612"/>
      <c r="O65" s="612"/>
    </row>
    <row r="66" spans="2:15">
      <c r="B66" s="612"/>
      <c r="C66" s="612"/>
      <c r="D66" s="1046"/>
      <c r="E66" s="1047"/>
      <c r="F66" s="1047"/>
      <c r="G66" s="1048"/>
      <c r="H66" s="612"/>
      <c r="N66" s="612"/>
      <c r="O66" s="612"/>
    </row>
    <row r="67" spans="2:15">
      <c r="B67" s="612"/>
      <c r="C67" s="612"/>
      <c r="D67" s="1046"/>
      <c r="E67" s="1047"/>
      <c r="F67" s="1047"/>
      <c r="G67" s="1048"/>
      <c r="H67" s="612"/>
      <c r="N67" s="612"/>
      <c r="O67" s="612"/>
    </row>
    <row r="68" spans="2:15">
      <c r="B68" s="612"/>
      <c r="C68" s="612"/>
      <c r="D68" s="1046"/>
      <c r="E68" s="1047"/>
      <c r="F68" s="1047"/>
      <c r="G68" s="1048"/>
      <c r="H68" s="612"/>
      <c r="N68" s="612"/>
      <c r="O68" s="612"/>
    </row>
    <row r="69" spans="2:15">
      <c r="B69" s="612"/>
      <c r="C69" s="612"/>
      <c r="D69" s="1046"/>
      <c r="E69" s="1047"/>
      <c r="F69" s="1047"/>
      <c r="G69" s="1048"/>
      <c r="H69" s="612"/>
      <c r="N69" s="612"/>
      <c r="O69" s="612"/>
    </row>
    <row r="70" spans="2:15">
      <c r="B70" s="612"/>
      <c r="C70" s="612"/>
      <c r="D70" s="1046"/>
      <c r="E70" s="1047"/>
      <c r="F70" s="1047"/>
      <c r="G70" s="1048"/>
      <c r="H70" s="612"/>
      <c r="N70" s="612"/>
      <c r="O70" s="612"/>
    </row>
    <row r="71" spans="2:15">
      <c r="B71" s="612"/>
      <c r="C71" s="612"/>
      <c r="D71" s="1046"/>
      <c r="E71" s="1047"/>
      <c r="F71" s="1047"/>
      <c r="G71" s="1048"/>
      <c r="H71" s="612"/>
      <c r="N71" s="612"/>
      <c r="O71" s="612"/>
    </row>
    <row r="72" spans="2:15">
      <c r="B72" s="612"/>
      <c r="C72" s="612"/>
      <c r="D72" s="1046"/>
      <c r="E72" s="1047"/>
      <c r="F72" s="1047"/>
      <c r="G72" s="1048"/>
      <c r="H72" s="612"/>
      <c r="N72" s="612"/>
      <c r="O72" s="612"/>
    </row>
    <row r="73" spans="2:15">
      <c r="B73" s="612"/>
      <c r="C73" s="612"/>
      <c r="D73" s="1046"/>
      <c r="E73" s="1047"/>
      <c r="F73" s="1047"/>
      <c r="G73" s="1048"/>
      <c r="H73" s="612"/>
      <c r="N73" s="612"/>
      <c r="O73" s="612"/>
    </row>
    <row r="74" spans="2:15">
      <c r="B74" s="612"/>
      <c r="C74" s="612"/>
      <c r="D74" s="1046"/>
      <c r="E74" s="1047"/>
      <c r="F74" s="1047"/>
      <c r="G74" s="1048"/>
      <c r="H74" s="612"/>
      <c r="N74" s="612"/>
      <c r="O74" s="612"/>
    </row>
    <row r="75" spans="2:15">
      <c r="B75" s="612"/>
      <c r="C75" s="612"/>
      <c r="D75" s="1046"/>
      <c r="E75" s="1047"/>
      <c r="F75" s="1047"/>
      <c r="G75" s="1048"/>
      <c r="H75" s="612"/>
      <c r="N75" s="612"/>
      <c r="O75" s="612"/>
    </row>
    <row r="76" spans="2:15">
      <c r="B76" s="612"/>
      <c r="C76" s="612"/>
      <c r="D76" s="1046"/>
      <c r="E76" s="1047"/>
      <c r="F76" s="1047"/>
      <c r="G76" s="1048"/>
      <c r="H76" s="612"/>
      <c r="N76" s="612"/>
      <c r="O76" s="612"/>
    </row>
    <row r="77" spans="2:15">
      <c r="B77" s="612"/>
      <c r="C77" s="612"/>
      <c r="D77" s="1046"/>
      <c r="E77" s="1047"/>
      <c r="F77" s="1047"/>
      <c r="G77" s="1048"/>
      <c r="H77" s="612"/>
      <c r="N77" s="612"/>
      <c r="O77" s="612"/>
    </row>
    <row r="78" spans="2:15">
      <c r="B78" s="612"/>
      <c r="C78" s="612"/>
      <c r="D78" s="1046"/>
      <c r="E78" s="1047"/>
      <c r="F78" s="1047"/>
      <c r="G78" s="1048"/>
      <c r="H78" s="612"/>
      <c r="N78" s="612"/>
      <c r="O78" s="612"/>
    </row>
    <row r="79" spans="2:15">
      <c r="B79" s="612"/>
      <c r="C79" s="612"/>
      <c r="D79" s="1046"/>
      <c r="E79" s="1047"/>
      <c r="F79" s="1047"/>
      <c r="G79" s="1048"/>
      <c r="H79" s="612"/>
      <c r="N79" s="612"/>
      <c r="O79" s="612"/>
    </row>
    <row r="80" spans="2:15">
      <c r="B80" s="612"/>
      <c r="C80" s="612"/>
      <c r="D80" s="1046"/>
      <c r="E80" s="1047"/>
      <c r="F80" s="1047"/>
      <c r="G80" s="1048"/>
      <c r="H80" s="612"/>
      <c r="N80" s="612"/>
      <c r="O80" s="612"/>
    </row>
    <row r="81" spans="2:15" ht="15">
      <c r="B81" s="612"/>
      <c r="C81" s="612"/>
      <c r="D81" s="1049"/>
      <c r="E81" s="1050"/>
      <c r="F81" s="1050"/>
      <c r="G81" s="1051"/>
      <c r="H81" s="612"/>
      <c r="N81" s="612"/>
      <c r="O81" s="612"/>
    </row>
    <row r="82" spans="2:15">
      <c r="B82" s="612"/>
      <c r="C82" s="612"/>
      <c r="D82" s="612"/>
      <c r="E82" s="612"/>
      <c r="F82" s="612"/>
      <c r="G82" s="1042"/>
      <c r="H82" s="612"/>
      <c r="N82" s="612"/>
      <c r="O82" s="612"/>
    </row>
    <row r="83" spans="2:15">
      <c r="B83" s="612"/>
      <c r="C83" s="612"/>
      <c r="D83" s="612"/>
      <c r="E83" s="612"/>
      <c r="F83" s="612"/>
      <c r="G83" s="612"/>
      <c r="H83" s="612"/>
      <c r="N83" s="612"/>
      <c r="O83" s="612"/>
    </row>
    <row r="84" spans="2:15">
      <c r="B84" s="612"/>
      <c r="C84" s="612"/>
      <c r="D84" s="612"/>
      <c r="E84" s="612"/>
      <c r="F84" s="612"/>
      <c r="G84" s="612"/>
      <c r="H84" s="612"/>
      <c r="N84" s="612"/>
      <c r="O84" s="612"/>
    </row>
  </sheetData>
  <sheetProtection password="CF4C" sheet="1" objects="1" scenarios="1"/>
  <sortState ref="I49:L80">
    <sortCondition descending="1" ref="L49:L80"/>
    <sortCondition ref="I49:I80"/>
  </sortState>
  <mergeCells count="1">
    <mergeCell ref="C3:O3"/>
  </mergeCells>
  <printOptions horizontalCentered="1" verticalCentered="1"/>
  <pageMargins left="0.43307086614173229" right="0.35433070866141736" top="0.33" bottom="0.43" header="0" footer="0"/>
  <pageSetup scale="6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P58"/>
  <sheetViews>
    <sheetView showGridLines="0" topLeftCell="A7" zoomScale="70" zoomScaleNormal="70" workbookViewId="0">
      <selection activeCell="M47" sqref="M47"/>
    </sheetView>
  </sheetViews>
  <sheetFormatPr baseColWidth="10" defaultRowHeight="12.75"/>
  <cols>
    <col min="1" max="1" width="2.7109375" style="361" customWidth="1"/>
    <col min="2" max="2" width="8.7109375" style="361" customWidth="1"/>
    <col min="3" max="3" width="7.140625" style="361" bestFit="1" customWidth="1"/>
    <col min="4" max="7" width="20.28515625" style="361" bestFit="1" customWidth="1"/>
    <col min="8" max="8" width="21.7109375" style="361" bestFit="1" customWidth="1"/>
    <col min="9" max="16384" width="11.42578125" style="361"/>
  </cols>
  <sheetData>
    <row r="1" spans="2:13" ht="13.5" thickBot="1"/>
    <row r="2" spans="2:13" ht="21" customHeight="1" thickBot="1">
      <c r="B2" s="362"/>
      <c r="C2" s="380" t="s">
        <v>0</v>
      </c>
      <c r="D2" s="381" t="s">
        <v>1</v>
      </c>
      <c r="E2" s="381" t="s">
        <v>2</v>
      </c>
      <c r="F2" s="381" t="s">
        <v>3</v>
      </c>
      <c r="G2" s="381" t="s">
        <v>193</v>
      </c>
      <c r="H2" s="382" t="s">
        <v>54</v>
      </c>
    </row>
    <row r="3" spans="2:13" ht="15" customHeight="1">
      <c r="B3" s="362"/>
      <c r="C3" s="374">
        <v>2002</v>
      </c>
      <c r="D3" s="375">
        <f>'[3]1.1'!C19</f>
        <v>2293</v>
      </c>
      <c r="E3" s="375">
        <f>'[3]1.1'!D19</f>
        <v>1146</v>
      </c>
      <c r="F3" s="375">
        <f>'[3]1.1'!E19</f>
        <v>695</v>
      </c>
      <c r="G3" s="375">
        <f>'[3]1.1'!F19</f>
        <v>6285</v>
      </c>
      <c r="H3" s="376">
        <f>D3+E3+F3+G3</f>
        <v>10419</v>
      </c>
      <c r="I3" s="363"/>
      <c r="J3" s="364"/>
      <c r="K3" s="365"/>
    </row>
    <row r="4" spans="2:13" ht="15" customHeight="1">
      <c r="B4" s="362"/>
      <c r="C4" s="377">
        <v>2003</v>
      </c>
      <c r="D4" s="267">
        <f>'[3]1.1'!C21</f>
        <v>4237.6822999400001</v>
      </c>
      <c r="E4" s="267">
        <f>'[3]1.1'!D21</f>
        <v>2147.5491737686311</v>
      </c>
      <c r="F4" s="267">
        <f>'[3]1.1'!E21</f>
        <v>1926.7617790868337</v>
      </c>
      <c r="G4" s="267">
        <f>'[3]1.1'!F21</f>
        <v>4121.4896577</v>
      </c>
      <c r="H4" s="378">
        <f>D4+E4+F4+G4</f>
        <v>12433.482910495464</v>
      </c>
      <c r="I4" s="363"/>
    </row>
    <row r="5" spans="2:13" ht="15" customHeight="1">
      <c r="B5" s="362"/>
      <c r="C5" s="379">
        <v>2004</v>
      </c>
      <c r="D5" s="267">
        <f>'[3]1.1'!C23</f>
        <v>4071.4475795640005</v>
      </c>
      <c r="E5" s="267">
        <f>'[3]1.1'!D23</f>
        <v>3035.4075303776663</v>
      </c>
      <c r="F5" s="267">
        <f>'[3]1.1'!E23</f>
        <v>1386.462534168094</v>
      </c>
      <c r="G5" s="267">
        <f>'[3]1.1'!F23</f>
        <v>4996.0458591836723</v>
      </c>
      <c r="H5" s="378">
        <f>D5+E5+F5+G5</f>
        <v>13489.363503293433</v>
      </c>
      <c r="I5" s="363"/>
    </row>
    <row r="6" spans="2:13" ht="15" customHeight="1">
      <c r="B6" s="362"/>
      <c r="C6" s="379">
        <v>2005</v>
      </c>
      <c r="D6" s="267">
        <f>'[3]1.1'!C25</f>
        <v>7085.2770266450079</v>
      </c>
      <c r="E6" s="267">
        <f>'[3]1.1'!D25</f>
        <v>4988.4086592830499</v>
      </c>
      <c r="F6" s="267">
        <f>'[3]1.1'!E25</f>
        <v>2917.7999596649224</v>
      </c>
      <c r="G6" s="267">
        <f>'[3]1.1'!F25</f>
        <v>6615.8627616949598</v>
      </c>
      <c r="H6" s="378">
        <f>D6+E6+F6+G6</f>
        <v>21607.34840728794</v>
      </c>
      <c r="I6" s="363"/>
    </row>
    <row r="7" spans="2:13" ht="15" customHeight="1">
      <c r="B7" s="362"/>
      <c r="C7" s="379">
        <v>2006</v>
      </c>
      <c r="D7" s="267">
        <v>5771.3962180547605</v>
      </c>
      <c r="E7" s="267">
        <v>2699.2173367951941</v>
      </c>
      <c r="F7" s="267">
        <v>2817.3939391910171</v>
      </c>
      <c r="G7" s="267">
        <v>4440.5147086100005</v>
      </c>
      <c r="H7" s="378">
        <v>15728.522202650973</v>
      </c>
      <c r="I7" s="363"/>
    </row>
    <row r="8" spans="2:13" ht="15" customHeight="1" thickBot="1">
      <c r="B8" s="362"/>
      <c r="C8" s="383">
        <v>2007</v>
      </c>
      <c r="D8" s="384">
        <v>9432.6144038057009</v>
      </c>
      <c r="E8" s="384">
        <v>4140.4379262282173</v>
      </c>
      <c r="F8" s="384">
        <v>2714.1753860010426</v>
      </c>
      <c r="G8" s="384">
        <v>5230.1596738640355</v>
      </c>
      <c r="H8" s="385">
        <v>21517.387389898999</v>
      </c>
      <c r="I8" s="363"/>
    </row>
    <row r="9" spans="2:13" ht="15" customHeight="1" thickBot="1">
      <c r="B9" s="362"/>
      <c r="C9" s="386">
        <v>2008</v>
      </c>
      <c r="D9" s="387">
        <v>13862.78104523215</v>
      </c>
      <c r="E9" s="387">
        <v>7286.8127070931132</v>
      </c>
      <c r="F9" s="387">
        <v>3549.8440444670005</v>
      </c>
      <c r="G9" s="387">
        <v>4811.064250145495</v>
      </c>
      <c r="H9" s="388">
        <v>29510.502046937763</v>
      </c>
      <c r="I9" s="363"/>
    </row>
    <row r="10" spans="2:13" ht="15" customHeight="1" thickBot="1">
      <c r="B10" s="362"/>
      <c r="C10" s="386">
        <v>2009</v>
      </c>
      <c r="D10" s="387">
        <v>17006.461568000002</v>
      </c>
      <c r="E10" s="387">
        <v>6216.6630939999995</v>
      </c>
      <c r="F10" s="387">
        <v>1937.789689</v>
      </c>
      <c r="G10" s="387">
        <v>4214.8303554054955</v>
      </c>
      <c r="H10" s="388">
        <f>SUM(D10:G10)</f>
        <v>29375.744706405498</v>
      </c>
      <c r="I10" s="363"/>
    </row>
    <row r="11" spans="2:13" ht="15" customHeight="1">
      <c r="B11" s="362"/>
      <c r="I11" s="363"/>
    </row>
    <row r="12" spans="2:13">
      <c r="E12" s="361">
        <v>8268.8216433538291</v>
      </c>
    </row>
    <row r="15" spans="2:13" ht="23.25">
      <c r="B15" s="1105" t="s">
        <v>206</v>
      </c>
      <c r="C15" s="1105"/>
      <c r="D15" s="1105"/>
      <c r="E15" s="1105"/>
      <c r="F15" s="1105"/>
      <c r="G15" s="1105"/>
      <c r="H15" s="1105"/>
      <c r="I15" s="1105"/>
      <c r="J15" s="1105"/>
      <c r="K15" s="1105"/>
      <c r="L15" s="1105"/>
      <c r="M15" s="366"/>
    </row>
    <row r="21" spans="3:16" ht="14.25">
      <c r="P21" s="367"/>
    </row>
    <row r="22" spans="3:16" ht="14.25">
      <c r="P22" s="367"/>
    </row>
    <row r="23" spans="3:16" ht="14.25">
      <c r="P23" s="367"/>
    </row>
    <row r="24" spans="3:16" ht="14.25">
      <c r="P24" s="367"/>
    </row>
    <row r="25" spans="3:16" ht="14.25">
      <c r="P25" s="367"/>
    </row>
    <row r="26" spans="3:16" ht="14.25">
      <c r="C26" s="368"/>
      <c r="P26" s="367"/>
    </row>
    <row r="27" spans="3:16" ht="14.25">
      <c r="P27" s="367"/>
    </row>
    <row r="28" spans="3:16" ht="14.25">
      <c r="P28" s="367"/>
    </row>
    <row r="29" spans="3:16" ht="14.25">
      <c r="P29" s="367"/>
    </row>
    <row r="30" spans="3:16" ht="14.25">
      <c r="P30" s="367"/>
    </row>
    <row r="33" spans="3:3">
      <c r="C33" s="368"/>
    </row>
    <row r="36" spans="3:3">
      <c r="C36" s="369"/>
    </row>
    <row r="44" spans="3:3">
      <c r="C44" s="369"/>
    </row>
    <row r="53" spans="3:13" ht="25.5" customHeight="1">
      <c r="C53" s="1106" t="s">
        <v>263</v>
      </c>
      <c r="D53" s="1106"/>
      <c r="E53" s="1106"/>
      <c r="F53" s="1106"/>
      <c r="G53" s="1106"/>
      <c r="H53" s="1106"/>
      <c r="I53" s="1106"/>
      <c r="J53" s="1106"/>
      <c r="K53" s="1106"/>
      <c r="L53" s="1106"/>
      <c r="M53" s="370"/>
    </row>
    <row r="54" spans="3:13" ht="12.75" customHeight="1">
      <c r="C54" s="1107" t="s">
        <v>264</v>
      </c>
      <c r="D54" s="1107"/>
      <c r="E54" s="1107"/>
      <c r="F54" s="1107"/>
      <c r="G54" s="1107"/>
      <c r="H54" s="1107"/>
      <c r="I54" s="1107"/>
      <c r="J54" s="1107"/>
      <c r="K54" s="1107"/>
      <c r="L54" s="1107"/>
      <c r="M54" s="371"/>
    </row>
    <row r="58" spans="3:13" ht="23.25">
      <c r="M58" s="372"/>
    </row>
  </sheetData>
  <mergeCells count="3">
    <mergeCell ref="B15:L15"/>
    <mergeCell ref="C53:L53"/>
    <mergeCell ref="C54:L54"/>
  </mergeCells>
  <printOptions horizontalCentered="1"/>
  <pageMargins left="0.19685039370078741" right="0.19685039370078741" top="0.39370078740157483" bottom="0.39370078740157483" header="0" footer="0.39370078740157483"/>
  <pageSetup scale="80" orientation="landscape" r:id="rId1"/>
  <headerFooter scaleWithDoc="0"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AC41"/>
  <sheetViews>
    <sheetView zoomScale="80" zoomScaleNormal="80" workbookViewId="0">
      <selection activeCell="O3" sqref="O3"/>
    </sheetView>
  </sheetViews>
  <sheetFormatPr baseColWidth="10" defaultRowHeight="12.75"/>
  <cols>
    <col min="1" max="1" width="2.7109375" style="670" customWidth="1"/>
    <col min="2" max="2" width="24.42578125" style="670" bestFit="1" customWidth="1"/>
    <col min="3" max="3" width="17.7109375" style="670" customWidth="1"/>
    <col min="4" max="4" width="12.28515625" style="670" customWidth="1"/>
    <col min="5" max="5" width="16.42578125" style="684" bestFit="1" customWidth="1"/>
    <col min="6" max="6" width="11.42578125" style="670"/>
    <col min="7" max="7" width="14.140625" style="675" bestFit="1" customWidth="1"/>
    <col min="8" max="8" width="13.85546875" style="675" bestFit="1" customWidth="1"/>
    <col min="9" max="9" width="11.5703125" style="670" bestFit="1" customWidth="1"/>
    <col min="10" max="10" width="13" style="670" bestFit="1" customWidth="1"/>
    <col min="11" max="13" width="11.42578125" style="670"/>
    <col min="14" max="14" width="13" style="670" customWidth="1"/>
    <col min="15" max="28" width="11.42578125" style="670"/>
    <col min="29" max="29" width="8.140625" style="670" customWidth="1"/>
    <col min="30" max="16384" width="11.42578125" style="670"/>
  </cols>
  <sheetData>
    <row r="1" spans="2:29" ht="18.75" customHeight="1" thickBot="1">
      <c r="B1" s="668" t="s">
        <v>194</v>
      </c>
      <c r="C1" s="668" t="s">
        <v>438</v>
      </c>
      <c r="D1" s="668" t="s">
        <v>439</v>
      </c>
      <c r="E1" s="669" t="s">
        <v>440</v>
      </c>
      <c r="G1" s="671" t="s">
        <v>441</v>
      </c>
      <c r="H1" s="671" t="s">
        <v>441</v>
      </c>
      <c r="I1" s="668" t="s">
        <v>51</v>
      </c>
    </row>
    <row r="2" spans="2:29" ht="35.25" customHeight="1" thickTop="1">
      <c r="B2" s="672" t="s">
        <v>13</v>
      </c>
      <c r="C2" s="673">
        <v>13.215</v>
      </c>
      <c r="D2" s="673">
        <v>13.215</v>
      </c>
      <c r="E2" s="674">
        <v>100</v>
      </c>
      <c r="G2" s="675">
        <f>+'[5]3.5'!C8</f>
        <v>3931.7</v>
      </c>
      <c r="H2" s="675">
        <f>+'[5]3.5'!D8</f>
        <v>3721.39</v>
      </c>
      <c r="I2" s="676">
        <f>+'[5]3.5'!E8</f>
        <v>94.650914362743848</v>
      </c>
      <c r="J2" s="672" t="str">
        <f>+'[5]3.5'!B8</f>
        <v>Aguascalientes</v>
      </c>
      <c r="O2" s="1345" t="s">
        <v>589</v>
      </c>
      <c r="P2" s="1346"/>
      <c r="Q2" s="1346"/>
      <c r="R2" s="1346"/>
      <c r="S2" s="1346"/>
      <c r="T2" s="1346"/>
      <c r="U2" s="1346"/>
      <c r="V2" s="1346"/>
      <c r="W2" s="1346"/>
      <c r="X2" s="1346"/>
      <c r="Y2" s="1346"/>
      <c r="Z2" s="1346"/>
      <c r="AA2" s="1346"/>
      <c r="AB2" s="1346"/>
      <c r="AC2" s="1347"/>
    </row>
    <row r="3" spans="2:29">
      <c r="B3" s="672" t="s">
        <v>30</v>
      </c>
      <c r="C3" s="673">
        <v>10.420999999999999</v>
      </c>
      <c r="D3" s="673">
        <v>10.420999999999999</v>
      </c>
      <c r="E3" s="674">
        <v>100</v>
      </c>
      <c r="G3" s="675">
        <f>+'[5]3.5'!C9</f>
        <v>8931.18</v>
      </c>
      <c r="H3" s="675">
        <f>+'[5]3.5'!D9</f>
        <v>8858.57</v>
      </c>
      <c r="I3" s="676">
        <f>+'[5]3.5'!E9</f>
        <v>99.18700552446596</v>
      </c>
      <c r="J3" s="672" t="str">
        <f>+'[5]3.5'!B9</f>
        <v>Baja California</v>
      </c>
      <c r="O3" s="686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87"/>
    </row>
    <row r="4" spans="2:29">
      <c r="B4" s="672" t="s">
        <v>9</v>
      </c>
      <c r="C4" s="673">
        <v>2.91656</v>
      </c>
      <c r="D4" s="673">
        <v>2.91371</v>
      </c>
      <c r="E4" s="674">
        <v>99.902282140604001</v>
      </c>
      <c r="G4" s="675">
        <f>+'[5]3.5'!C10</f>
        <v>2800.12</v>
      </c>
      <c r="H4" s="675">
        <f>+'[5]3.5'!D10</f>
        <v>2765.19</v>
      </c>
      <c r="I4" s="676">
        <f>+'[5]3.5'!E10</f>
        <v>98.752553461994495</v>
      </c>
      <c r="J4" s="672" t="str">
        <f>+'[5]3.5'!B10</f>
        <v>Baja California Sur</v>
      </c>
      <c r="O4" s="686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87"/>
    </row>
    <row r="5" spans="2:29">
      <c r="B5" s="672" t="s">
        <v>11</v>
      </c>
      <c r="C5" s="673">
        <v>3.6518800000000002</v>
      </c>
      <c r="D5" s="673">
        <v>3.6478800000000002</v>
      </c>
      <c r="E5" s="674">
        <v>99.890467375707857</v>
      </c>
      <c r="G5" s="675">
        <f>+'[5]3.5'!C11</f>
        <v>2916.56</v>
      </c>
      <c r="H5" s="675">
        <f>+'[5]3.5'!D11</f>
        <v>2913.71</v>
      </c>
      <c r="I5" s="676">
        <f>+'[5]3.5'!E11</f>
        <v>99.902282140604001</v>
      </c>
      <c r="J5" s="672" t="str">
        <f>+'[5]3.5'!B11</f>
        <v>Campeche</v>
      </c>
      <c r="O5" s="686"/>
      <c r="Q5" s="677"/>
      <c r="R5" s="677"/>
      <c r="S5" s="677"/>
      <c r="T5" s="677"/>
      <c r="U5" s="677"/>
      <c r="V5" s="677"/>
      <c r="W5" s="677"/>
      <c r="X5" s="677"/>
      <c r="Y5" s="677"/>
      <c r="Z5" s="677"/>
      <c r="AA5" s="677"/>
      <c r="AB5" s="677"/>
      <c r="AC5" s="687"/>
    </row>
    <row r="6" spans="2:29">
      <c r="B6" s="672" t="s">
        <v>20</v>
      </c>
      <c r="C6" s="673">
        <v>37.427999999999997</v>
      </c>
      <c r="D6" s="673">
        <v>37.179000000000002</v>
      </c>
      <c r="E6" s="674">
        <v>99.334722667521646</v>
      </c>
      <c r="G6" s="675">
        <f>+'[5]3.5'!C12</f>
        <v>5260</v>
      </c>
      <c r="H6" s="675">
        <f>+'[5]3.5'!D12</f>
        <v>4730</v>
      </c>
      <c r="I6" s="676">
        <f>+'[5]3.5'!E12</f>
        <v>89.923954372623569</v>
      </c>
      <c r="J6" s="672" t="str">
        <f>+'[5]3.5'!B12</f>
        <v>Chiapas</v>
      </c>
      <c r="O6" s="686"/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  <c r="AB6" s="677"/>
      <c r="AC6" s="687"/>
    </row>
    <row r="7" spans="2:29">
      <c r="B7" s="672" t="s">
        <v>23</v>
      </c>
      <c r="C7" s="673">
        <v>3.1232899999999999</v>
      </c>
      <c r="D7" s="673">
        <v>3.0980599999999998</v>
      </c>
      <c r="E7" s="674">
        <v>99.19219797072958</v>
      </c>
      <c r="G7" s="675">
        <f>+'[5]3.5'!C13</f>
        <v>13215</v>
      </c>
      <c r="H7" s="675">
        <f>+'[5]3.5'!D13</f>
        <v>13215</v>
      </c>
      <c r="I7" s="676">
        <f>+'[5]3.5'!E13</f>
        <v>100</v>
      </c>
      <c r="J7" s="672" t="str">
        <f>+'[5]3.5'!B13</f>
        <v>Chihuahua</v>
      </c>
      <c r="O7" s="686"/>
      <c r="Q7" s="677"/>
      <c r="R7" s="677"/>
      <c r="S7" s="677"/>
      <c r="T7" s="677"/>
      <c r="U7" s="677"/>
      <c r="V7" s="677"/>
      <c r="W7" s="677"/>
      <c r="X7" s="677"/>
      <c r="Y7" s="677"/>
      <c r="Z7" s="677"/>
      <c r="AA7" s="677"/>
      <c r="AB7" s="677"/>
      <c r="AC7" s="687"/>
    </row>
    <row r="8" spans="2:29">
      <c r="B8" s="672" t="s">
        <v>7</v>
      </c>
      <c r="C8" s="673">
        <v>8.9311799999999995</v>
      </c>
      <c r="D8" s="673">
        <v>8.8585700000000003</v>
      </c>
      <c r="E8" s="674">
        <v>99.18700552446596</v>
      </c>
      <c r="G8" s="675">
        <f>+'[5]3.5'!C14</f>
        <v>11155.64</v>
      </c>
      <c r="H8" s="675">
        <f>+'[5]3.5'!D14</f>
        <v>10356.85</v>
      </c>
      <c r="I8" s="676">
        <f>+'[5]3.5'!E14</f>
        <v>92.839586074846466</v>
      </c>
      <c r="J8" s="672" t="str">
        <f>+'[5]3.5'!B14</f>
        <v>Coahuila de Zaragoza</v>
      </c>
      <c r="O8" s="686"/>
      <c r="Q8" s="677"/>
      <c r="R8" s="677"/>
      <c r="S8" s="677"/>
      <c r="T8" s="677"/>
      <c r="U8" s="677"/>
      <c r="V8" s="677"/>
      <c r="W8" s="677"/>
      <c r="X8" s="677"/>
      <c r="Y8" s="677"/>
      <c r="Z8" s="677"/>
      <c r="AA8" s="677"/>
      <c r="AB8" s="677"/>
      <c r="AC8" s="687"/>
    </row>
    <row r="9" spans="2:29">
      <c r="B9" s="672" t="s">
        <v>32</v>
      </c>
      <c r="C9" s="673">
        <v>2.3405999999999998</v>
      </c>
      <c r="D9" s="673">
        <v>2.3143099999999999</v>
      </c>
      <c r="E9" s="674">
        <v>98.876783730667356</v>
      </c>
      <c r="G9" s="675">
        <f>+'[5]3.5'!C15</f>
        <v>3651.88</v>
      </c>
      <c r="H9" s="675">
        <f>+'[5]3.5'!D15</f>
        <v>3647.88</v>
      </c>
      <c r="I9" s="676">
        <f>+'[5]3.5'!E15</f>
        <v>99.890467375707857</v>
      </c>
      <c r="J9" s="672" t="str">
        <f>+'[5]3.5'!B15</f>
        <v>Colima</v>
      </c>
      <c r="O9" s="686"/>
      <c r="Q9" s="677"/>
      <c r="R9" s="677"/>
      <c r="S9" s="677"/>
      <c r="T9" s="677"/>
      <c r="U9" s="677"/>
      <c r="V9" s="677"/>
      <c r="W9" s="677"/>
      <c r="X9" s="677"/>
      <c r="Y9" s="677"/>
      <c r="Z9" s="677"/>
      <c r="AA9" s="677"/>
      <c r="AB9" s="677"/>
      <c r="AC9" s="687"/>
    </row>
    <row r="10" spans="2:29">
      <c r="B10" s="672" t="s">
        <v>8</v>
      </c>
      <c r="C10" s="673">
        <v>2.8001199999999997</v>
      </c>
      <c r="D10" s="673">
        <v>2.76519</v>
      </c>
      <c r="E10" s="674">
        <v>98.752553461994495</v>
      </c>
      <c r="G10" s="675">
        <f>+'[5]3.5'!C16</f>
        <v>33463.120000000003</v>
      </c>
      <c r="H10" s="675">
        <f>+'[5]3.5'!D16</f>
        <v>32269.1</v>
      </c>
      <c r="I10" s="676">
        <f>+'[5]3.5'!E16</f>
        <v>96.431833014972895</v>
      </c>
      <c r="J10" s="672" t="str">
        <f>+'[5]3.5'!B16</f>
        <v>Distrito Federal</v>
      </c>
      <c r="O10" s="686"/>
      <c r="Q10" s="677"/>
      <c r="R10" s="677"/>
      <c r="S10" s="677"/>
      <c r="T10" s="677"/>
      <c r="U10" s="677"/>
      <c r="V10" s="677"/>
      <c r="W10" s="677"/>
      <c r="X10" s="677"/>
      <c r="Y10" s="677"/>
      <c r="Z10" s="677"/>
      <c r="AA10" s="677"/>
      <c r="AB10" s="677"/>
      <c r="AC10" s="687"/>
    </row>
    <row r="11" spans="2:29">
      <c r="B11" s="672" t="s">
        <v>31</v>
      </c>
      <c r="C11" s="673">
        <v>11.700239999999999</v>
      </c>
      <c r="D11" s="673">
        <v>11.530419999999999</v>
      </c>
      <c r="E11" s="674">
        <v>98.548576781330993</v>
      </c>
      <c r="G11" s="675">
        <f>+'[5]3.5'!C17</f>
        <v>7588.36</v>
      </c>
      <c r="H11" s="675">
        <f>+'[5]3.5'!D17</f>
        <v>7178.9</v>
      </c>
      <c r="I11" s="676">
        <f>+'[5]3.5'!E17</f>
        <v>94.604104180613461</v>
      </c>
      <c r="J11" s="672" t="str">
        <f>+'[5]3.5'!B17</f>
        <v>Durango</v>
      </c>
      <c r="O11" s="686"/>
      <c r="Q11" s="677"/>
      <c r="R11" s="677"/>
      <c r="S11" s="677"/>
      <c r="T11" s="677"/>
      <c r="U11" s="677"/>
      <c r="V11" s="677"/>
      <c r="W11" s="677"/>
      <c r="X11" s="677"/>
      <c r="Y11" s="677"/>
      <c r="Z11" s="677"/>
      <c r="AA11" s="677"/>
      <c r="AB11" s="677"/>
      <c r="AC11" s="687"/>
    </row>
    <row r="12" spans="2:29">
      <c r="B12" s="672" t="s">
        <v>35</v>
      </c>
      <c r="C12" s="673">
        <v>6.3497399999999997</v>
      </c>
      <c r="D12" s="673">
        <v>6.2426400000000006</v>
      </c>
      <c r="E12" s="674">
        <v>98.313316765725844</v>
      </c>
      <c r="G12" s="675">
        <f>+'[5]3.5'!C18</f>
        <v>13689</v>
      </c>
      <c r="H12" s="675">
        <f>+'[5]3.5'!D18</f>
        <v>12709.51</v>
      </c>
      <c r="I12" s="676">
        <f>+'[5]3.5'!E18</f>
        <v>92.844692819051801</v>
      </c>
      <c r="J12" s="672" t="str">
        <f>+'[5]3.5'!B18</f>
        <v>Guanajuato</v>
      </c>
      <c r="O12" s="686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87"/>
    </row>
    <row r="13" spans="2:29">
      <c r="B13" s="672" t="s">
        <v>27</v>
      </c>
      <c r="C13" s="673">
        <v>3.9072600000000004</v>
      </c>
      <c r="D13" s="673">
        <v>3.8314699999999999</v>
      </c>
      <c r="E13" s="674">
        <v>98.060277534640633</v>
      </c>
      <c r="G13" s="675">
        <f>+'[5]3.5'!C19</f>
        <v>7617.34</v>
      </c>
      <c r="H13" s="675">
        <f>+'[5]3.5'!D19</f>
        <v>6700.66</v>
      </c>
      <c r="I13" s="676">
        <f>+'[5]3.5'!E19</f>
        <v>87.965877852373666</v>
      </c>
      <c r="J13" s="672" t="str">
        <f>+'[5]3.5'!B19</f>
        <v>Guerrero</v>
      </c>
      <c r="O13" s="686"/>
      <c r="Q13" s="677"/>
      <c r="R13" s="677"/>
      <c r="S13" s="677"/>
      <c r="T13" s="677"/>
      <c r="U13" s="677"/>
      <c r="V13" s="677"/>
      <c r="W13" s="677"/>
      <c r="X13" s="677"/>
      <c r="Y13" s="677"/>
      <c r="Z13" s="677"/>
      <c r="AA13" s="677"/>
      <c r="AB13" s="677"/>
      <c r="AC13" s="687"/>
    </row>
    <row r="14" spans="2:29">
      <c r="B14" s="672" t="s">
        <v>36</v>
      </c>
      <c r="C14" s="673">
        <v>9.8179500000000015</v>
      </c>
      <c r="D14" s="673">
        <v>9.6197900000000001</v>
      </c>
      <c r="E14" s="674">
        <v>97.981656048360406</v>
      </c>
      <c r="G14" s="675">
        <f>+'[5]3.5'!C20</f>
        <v>4303.9799999999996</v>
      </c>
      <c r="H14" s="675">
        <f>+'[5]3.5'!D20</f>
        <v>4099.54</v>
      </c>
      <c r="I14" s="676">
        <f>+'[5]3.5'!E20</f>
        <v>95.249977927406732</v>
      </c>
      <c r="J14" s="672" t="str">
        <f>+'[5]3.5'!B20</f>
        <v>Hidalgo</v>
      </c>
      <c r="O14" s="686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87"/>
    </row>
    <row r="15" spans="2:29">
      <c r="B15" s="672" t="s">
        <v>262</v>
      </c>
      <c r="C15" s="673">
        <v>21.79532</v>
      </c>
      <c r="D15" s="673">
        <v>21.34815</v>
      </c>
      <c r="E15" s="674">
        <v>97.948321015704295</v>
      </c>
      <c r="G15" s="675">
        <f>+'[5]3.5'!C21</f>
        <v>20838.490000000002</v>
      </c>
      <c r="H15" s="675">
        <f>+'[5]3.5'!D21</f>
        <v>20296.060000000001</v>
      </c>
      <c r="I15" s="676">
        <f>+'[5]3.5'!E21</f>
        <v>97.396980299436279</v>
      </c>
      <c r="J15" s="672" t="str">
        <f>+'[5]3.5'!B21</f>
        <v>Jalisco</v>
      </c>
      <c r="O15" s="686"/>
      <c r="Q15" s="677"/>
      <c r="R15" s="677"/>
      <c r="S15" s="677"/>
      <c r="T15" s="677"/>
      <c r="U15" s="677"/>
      <c r="V15" s="677"/>
      <c r="W15" s="677"/>
      <c r="X15" s="677"/>
      <c r="Y15" s="677"/>
      <c r="Z15" s="677"/>
      <c r="AA15" s="677"/>
      <c r="AB15" s="677"/>
      <c r="AC15" s="687"/>
    </row>
    <row r="16" spans="2:29">
      <c r="B16" s="672" t="s">
        <v>24</v>
      </c>
      <c r="C16" s="673">
        <v>12.289309999999999</v>
      </c>
      <c r="D16" s="673">
        <v>12.02491</v>
      </c>
      <c r="E16" s="674">
        <v>97.848536655027829</v>
      </c>
      <c r="G16" s="675">
        <f>+'[5]3.5'!C22</f>
        <v>37428</v>
      </c>
      <c r="H16" s="675">
        <f>+'[5]3.5'!D22</f>
        <v>37179</v>
      </c>
      <c r="I16" s="676">
        <f>+'[5]3.5'!E22</f>
        <v>99.334722667521646</v>
      </c>
      <c r="J16" s="672" t="str">
        <f>+'[5]3.5'!B22</f>
        <v>México</v>
      </c>
      <c r="O16" s="686"/>
      <c r="Q16" s="677"/>
      <c r="R16" s="677"/>
      <c r="S16" s="677"/>
      <c r="T16" s="677"/>
      <c r="U16" s="677"/>
      <c r="V16" s="677"/>
      <c r="W16" s="677"/>
      <c r="X16" s="677"/>
      <c r="Y16" s="677"/>
      <c r="Z16" s="677"/>
      <c r="AA16" s="677"/>
      <c r="AB16" s="677"/>
      <c r="AC16" s="687"/>
    </row>
    <row r="17" spans="2:29">
      <c r="B17" s="672" t="s">
        <v>29</v>
      </c>
      <c r="C17" s="673">
        <v>10.13538</v>
      </c>
      <c r="D17" s="673">
        <v>9.9143799999999995</v>
      </c>
      <c r="E17" s="674">
        <v>97.819519347079236</v>
      </c>
      <c r="G17" s="675">
        <f>+'[5]3.5'!C23</f>
        <v>14680.97</v>
      </c>
      <c r="H17" s="675">
        <f>+'[5]3.5'!D23</f>
        <v>13444.24</v>
      </c>
      <c r="I17" s="676">
        <f>+'[5]3.5'!E23</f>
        <v>91.575965348338713</v>
      </c>
      <c r="J17" s="672" t="str">
        <f>+'[5]3.5'!B23</f>
        <v>Michoacán de Ocampo</v>
      </c>
      <c r="O17" s="686"/>
      <c r="Q17" s="677"/>
      <c r="R17" s="677"/>
      <c r="S17" s="677"/>
      <c r="T17" s="677"/>
      <c r="U17" s="677"/>
      <c r="V17" s="677"/>
      <c r="W17" s="677"/>
      <c r="X17" s="677"/>
      <c r="Y17" s="677"/>
      <c r="Z17" s="677"/>
      <c r="AA17" s="677"/>
      <c r="AB17" s="677"/>
      <c r="AC17" s="687"/>
    </row>
    <row r="18" spans="2:29">
      <c r="B18" s="672" t="s">
        <v>225</v>
      </c>
      <c r="C18" s="673">
        <v>5.0492100000000004</v>
      </c>
      <c r="D18" s="673">
        <v>4.9371299999999998</v>
      </c>
      <c r="E18" s="674">
        <v>97.780246810887249</v>
      </c>
      <c r="G18" s="675">
        <f>+'[5]3.5'!C24</f>
        <v>9941.2000000000007</v>
      </c>
      <c r="H18" s="675">
        <f>+'[5]3.5'!D24</f>
        <v>9643.11</v>
      </c>
      <c r="I18" s="676">
        <f>+'[5]3.5'!E24</f>
        <v>97.001468635577197</v>
      </c>
      <c r="J18" s="672" t="str">
        <f>+'[5]3.5'!B24</f>
        <v>Morelos</v>
      </c>
      <c r="O18" s="686"/>
      <c r="Q18" s="677"/>
      <c r="R18" s="677"/>
      <c r="S18" s="677"/>
      <c r="T18" s="677"/>
      <c r="U18" s="677"/>
      <c r="V18" s="677"/>
      <c r="W18" s="677"/>
      <c r="X18" s="677"/>
      <c r="Y18" s="677"/>
      <c r="Z18" s="677"/>
      <c r="AA18" s="677"/>
      <c r="AB18" s="677"/>
      <c r="AC18" s="687"/>
    </row>
    <row r="19" spans="2:29">
      <c r="B19" s="672" t="s">
        <v>19</v>
      </c>
      <c r="C19" s="673">
        <v>20.83849</v>
      </c>
      <c r="D19" s="673">
        <v>20.296060000000001</v>
      </c>
      <c r="E19" s="674">
        <v>97.396980299436279</v>
      </c>
      <c r="G19" s="675">
        <f>+'[5]3.5'!C25</f>
        <v>3123.29</v>
      </c>
      <c r="H19" s="675">
        <f>+'[5]3.5'!D25</f>
        <v>3098.06</v>
      </c>
      <c r="I19" s="676">
        <f>+'[5]3.5'!E25</f>
        <v>99.19219797072958</v>
      </c>
      <c r="J19" s="672" t="str">
        <f>+'[5]3.5'!B25</f>
        <v>Nayarit</v>
      </c>
      <c r="O19" s="686"/>
      <c r="Q19" s="677"/>
      <c r="R19" s="677"/>
      <c r="S19" s="677"/>
      <c r="T19" s="677"/>
      <c r="U19" s="677"/>
      <c r="V19" s="677"/>
      <c r="W19" s="677"/>
      <c r="X19" s="677"/>
      <c r="Y19" s="677"/>
      <c r="Z19" s="677"/>
      <c r="AA19" s="677"/>
      <c r="AB19" s="677"/>
      <c r="AC19" s="687"/>
    </row>
    <row r="20" spans="2:29">
      <c r="B20" s="672" t="s">
        <v>37</v>
      </c>
      <c r="C20" s="673">
        <v>12.9559</v>
      </c>
      <c r="D20" s="673">
        <v>12.588700000000001</v>
      </c>
      <c r="E20" s="674">
        <v>97.165770035273511</v>
      </c>
      <c r="G20" s="675">
        <f>+'[5]3.5'!C26</f>
        <v>12289.31</v>
      </c>
      <c r="H20" s="675">
        <f>+'[5]3.5'!D26</f>
        <v>12024.91</v>
      </c>
      <c r="I20" s="676">
        <f>+'[5]3.5'!E26</f>
        <v>97.848536655027829</v>
      </c>
      <c r="J20" s="672" t="str">
        <f>+'[5]3.5'!B26</f>
        <v>Nuevo León</v>
      </c>
      <c r="O20" s="686"/>
      <c r="Q20" s="677"/>
      <c r="R20" s="677"/>
      <c r="S20" s="677"/>
      <c r="T20" s="677"/>
      <c r="U20" s="677"/>
      <c r="V20" s="677"/>
      <c r="W20" s="677"/>
      <c r="X20" s="677"/>
      <c r="Y20" s="677"/>
      <c r="Z20" s="677"/>
      <c r="AA20" s="677"/>
      <c r="AB20" s="677"/>
      <c r="AC20" s="687"/>
    </row>
    <row r="21" spans="2:29">
      <c r="B21" s="672" t="s">
        <v>22</v>
      </c>
      <c r="C21" s="673">
        <v>9.9412000000000003</v>
      </c>
      <c r="D21" s="673">
        <v>9.6431100000000001</v>
      </c>
      <c r="E21" s="674">
        <v>97.001468635577197</v>
      </c>
      <c r="G21" s="675">
        <f>+'[5]3.5'!C27</f>
        <v>4893</v>
      </c>
      <c r="H21" s="675">
        <f>+'[5]3.5'!D27</f>
        <v>4624</v>
      </c>
      <c r="I21" s="676">
        <f>+'[5]3.5'!E27</f>
        <v>94.502350296341703</v>
      </c>
      <c r="J21" s="672" t="str">
        <f>+'[5]3.5'!B27</f>
        <v>Oaxaca</v>
      </c>
      <c r="O21" s="686"/>
      <c r="Q21" s="677"/>
      <c r="R21" s="677"/>
      <c r="S21" s="677"/>
      <c r="T21" s="677"/>
      <c r="U21" s="677"/>
      <c r="V21" s="677"/>
      <c r="W21" s="677"/>
      <c r="X21" s="677"/>
      <c r="Y21" s="677"/>
      <c r="Z21" s="677"/>
      <c r="AA21" s="677"/>
      <c r="AB21" s="677"/>
      <c r="AC21" s="687"/>
    </row>
    <row r="22" spans="2:29">
      <c r="B22" s="672" t="s">
        <v>14</v>
      </c>
      <c r="C22" s="673">
        <v>33.463120000000004</v>
      </c>
      <c r="D22" s="673">
        <v>32.269100000000002</v>
      </c>
      <c r="E22" s="674">
        <v>96.431833014972895</v>
      </c>
      <c r="G22" s="675">
        <f>+'[5]3.5'!C28</f>
        <v>9817.9500000000007</v>
      </c>
      <c r="H22" s="675">
        <f>+'[5]3.5'!D28</f>
        <v>9619.7900000000009</v>
      </c>
      <c r="I22" s="676">
        <f>+'[5]3.5'!E28</f>
        <v>97.981656048360406</v>
      </c>
      <c r="J22" s="672" t="str">
        <f>+'[5]3.5'!B28</f>
        <v>Puebla</v>
      </c>
      <c r="O22" s="686"/>
      <c r="Q22" s="678"/>
      <c r="R22" s="677"/>
      <c r="S22" s="677"/>
      <c r="T22" s="677"/>
      <c r="U22" s="677"/>
      <c r="V22" s="677"/>
      <c r="W22" s="677"/>
      <c r="X22" s="677"/>
      <c r="Y22" s="677"/>
      <c r="Z22" s="677"/>
      <c r="AA22" s="677"/>
      <c r="AB22" s="677"/>
      <c r="AC22" s="687"/>
    </row>
    <row r="23" spans="2:29">
      <c r="B23" s="672" t="s">
        <v>18</v>
      </c>
      <c r="C23" s="673">
        <v>4.3039799999999993</v>
      </c>
      <c r="D23" s="673">
        <v>4.0995400000000002</v>
      </c>
      <c r="E23" s="674">
        <v>95.249977927406732</v>
      </c>
      <c r="G23" s="675">
        <f>+'[5]3.5'!C29</f>
        <v>5049.21</v>
      </c>
      <c r="H23" s="675">
        <f>+'[5]3.5'!D29</f>
        <v>4937.13</v>
      </c>
      <c r="I23" s="676">
        <f>+'[5]3.5'!E29</f>
        <v>97.780246810887249</v>
      </c>
      <c r="J23" s="672" t="str">
        <f>+'[5]3.5'!B29</f>
        <v>Querétaro de Arteaga</v>
      </c>
      <c r="O23" s="686"/>
      <c r="Q23" s="677"/>
      <c r="R23" s="677"/>
      <c r="S23" s="677"/>
      <c r="T23" s="677"/>
      <c r="U23" s="677"/>
      <c r="V23" s="677"/>
      <c r="W23" s="677"/>
      <c r="X23" s="677"/>
      <c r="Y23" s="677"/>
      <c r="Z23" s="677"/>
      <c r="AA23" s="677"/>
      <c r="AB23" s="677"/>
      <c r="AC23" s="687"/>
    </row>
    <row r="24" spans="2:29">
      <c r="B24" s="672" t="s">
        <v>6</v>
      </c>
      <c r="C24" s="673">
        <v>3.9316999999999998</v>
      </c>
      <c r="D24" s="673">
        <v>3.72139</v>
      </c>
      <c r="E24" s="674">
        <v>94.650914362743848</v>
      </c>
      <c r="G24" s="675">
        <f>+'[5]3.5'!C30</f>
        <v>3907.26</v>
      </c>
      <c r="H24" s="675">
        <f>+'[5]3.5'!D30</f>
        <v>3831.47</v>
      </c>
      <c r="I24" s="676">
        <f>+'[5]3.5'!E30</f>
        <v>98.060277534640633</v>
      </c>
      <c r="J24" s="672" t="str">
        <f>+'[5]3.5'!B30</f>
        <v>Quintana Roo</v>
      </c>
      <c r="O24" s="686"/>
      <c r="Q24" s="677"/>
      <c r="R24" s="677"/>
      <c r="S24" s="677"/>
      <c r="T24" s="677"/>
      <c r="U24" s="677"/>
      <c r="V24" s="677"/>
      <c r="W24" s="677"/>
      <c r="X24" s="677"/>
      <c r="Y24" s="677"/>
      <c r="Z24" s="677"/>
      <c r="AA24" s="677"/>
      <c r="AB24" s="677"/>
      <c r="AC24" s="687"/>
    </row>
    <row r="25" spans="2:29">
      <c r="B25" s="672" t="s">
        <v>15</v>
      </c>
      <c r="C25" s="673">
        <v>7.5883599999999998</v>
      </c>
      <c r="D25" s="673">
        <v>7.1788999999999996</v>
      </c>
      <c r="E25" s="674">
        <v>94.604104180613461</v>
      </c>
      <c r="G25" s="675">
        <f>+'[5]3.5'!C31</f>
        <v>5458.76</v>
      </c>
      <c r="H25" s="675">
        <f>+'[5]3.5'!D31</f>
        <v>5052.33</v>
      </c>
      <c r="I25" s="676">
        <f>+'[5]3.5'!E31</f>
        <v>92.554536195033293</v>
      </c>
      <c r="J25" s="672" t="str">
        <f>+'[5]3.5'!B31</f>
        <v>San Luis Potosí</v>
      </c>
      <c r="O25" s="686"/>
      <c r="Q25" s="677"/>
      <c r="R25" s="677"/>
      <c r="S25" s="677"/>
      <c r="T25" s="677"/>
      <c r="U25" s="677"/>
      <c r="V25" s="677"/>
      <c r="W25" s="677"/>
      <c r="X25" s="677"/>
      <c r="Y25" s="677"/>
      <c r="Z25" s="677"/>
      <c r="AA25" s="677"/>
      <c r="AB25" s="677"/>
      <c r="AC25" s="687"/>
    </row>
    <row r="26" spans="2:29">
      <c r="B26" s="672" t="s">
        <v>25</v>
      </c>
      <c r="C26" s="673">
        <v>4.8929999999999998</v>
      </c>
      <c r="D26" s="673">
        <v>4.6239999999999997</v>
      </c>
      <c r="E26" s="674">
        <v>94.502350296341703</v>
      </c>
      <c r="G26" s="675">
        <f>+'[5]3.5'!C32</f>
        <v>10135.379999999999</v>
      </c>
      <c r="H26" s="675">
        <f>+'[5]3.5'!D32</f>
        <v>9914.3799999999992</v>
      </c>
      <c r="I26" s="676">
        <f>+'[5]3.5'!E32</f>
        <v>97.819519347079236</v>
      </c>
      <c r="J26" s="672" t="str">
        <f>+'[5]3.5'!B32</f>
        <v>Sinaloa</v>
      </c>
      <c r="O26" s="686"/>
      <c r="Q26" s="677"/>
      <c r="R26" s="677"/>
      <c r="S26" s="677"/>
      <c r="T26" s="677"/>
      <c r="U26" s="677"/>
      <c r="V26" s="677"/>
      <c r="W26" s="677"/>
      <c r="X26" s="677"/>
      <c r="Y26" s="677"/>
      <c r="Z26" s="677"/>
      <c r="AA26" s="677"/>
      <c r="AB26" s="677"/>
      <c r="AC26" s="687"/>
    </row>
    <row r="27" spans="2:29">
      <c r="B27" s="672" t="s">
        <v>16</v>
      </c>
      <c r="C27" s="673">
        <v>13.689</v>
      </c>
      <c r="D27" s="673">
        <v>12.70951</v>
      </c>
      <c r="E27" s="674">
        <v>92.844692819051801</v>
      </c>
      <c r="G27" s="675">
        <f>+'[5]3.5'!C33</f>
        <v>12955.9</v>
      </c>
      <c r="H27" s="675">
        <f>+'[5]3.5'!D33</f>
        <v>12588.7</v>
      </c>
      <c r="I27" s="676">
        <f>+'[5]3.5'!E33</f>
        <v>97.165770035273511</v>
      </c>
      <c r="J27" s="672" t="str">
        <f>+'[5]3.5'!B33</f>
        <v xml:space="preserve">Sonora </v>
      </c>
      <c r="O27" s="686"/>
      <c r="Q27" s="677"/>
      <c r="R27" s="677"/>
      <c r="S27" s="677"/>
      <c r="T27" s="677"/>
      <c r="U27" s="677"/>
      <c r="V27" s="677"/>
      <c r="W27" s="677"/>
      <c r="X27" s="677"/>
      <c r="Y27" s="677"/>
      <c r="Z27" s="677"/>
      <c r="AA27" s="677"/>
      <c r="AB27" s="677"/>
      <c r="AC27" s="687"/>
    </row>
    <row r="28" spans="2:29">
      <c r="B28" s="672" t="s">
        <v>223</v>
      </c>
      <c r="C28" s="673">
        <v>11.15564</v>
      </c>
      <c r="D28" s="673">
        <v>10.35685</v>
      </c>
      <c r="E28" s="674">
        <v>92.839586074846466</v>
      </c>
      <c r="G28" s="675">
        <f>+'[5]3.5'!C34</f>
        <v>10421</v>
      </c>
      <c r="H28" s="675">
        <f>+'[5]3.5'!D34</f>
        <v>10421</v>
      </c>
      <c r="I28" s="676">
        <f>+'[5]3.5'!E34</f>
        <v>100</v>
      </c>
      <c r="J28" s="672" t="str">
        <f>+'[5]3.5'!B34</f>
        <v>Tabasco</v>
      </c>
      <c r="O28" s="686"/>
      <c r="Q28" s="677"/>
      <c r="R28" s="677"/>
      <c r="S28" s="677"/>
      <c r="T28" s="677"/>
      <c r="U28" s="677"/>
      <c r="V28" s="677"/>
      <c r="W28" s="677"/>
      <c r="X28" s="677"/>
      <c r="Y28" s="677"/>
      <c r="Z28" s="677"/>
      <c r="AA28" s="677"/>
      <c r="AB28" s="677"/>
      <c r="AC28" s="687"/>
    </row>
    <row r="29" spans="2:29">
      <c r="B29" s="672" t="s">
        <v>34</v>
      </c>
      <c r="C29" s="673">
        <v>6.5932399999999998</v>
      </c>
      <c r="D29" s="673">
        <v>6.1187399999999998</v>
      </c>
      <c r="E29" s="674">
        <v>92.803234828399994</v>
      </c>
      <c r="G29" s="675">
        <f>+'[5]3.5'!C35</f>
        <v>11700.24</v>
      </c>
      <c r="H29" s="675">
        <f>+'[5]3.5'!D35</f>
        <v>11530.42</v>
      </c>
      <c r="I29" s="676">
        <f>+'[5]3.5'!E35</f>
        <v>98.548576781330993</v>
      </c>
      <c r="J29" s="672" t="str">
        <f>+'[5]3.5'!B35</f>
        <v>Tamaulipas</v>
      </c>
      <c r="O29" s="686"/>
      <c r="Q29" s="678"/>
      <c r="R29" s="677"/>
      <c r="S29" s="677"/>
      <c r="T29" s="677"/>
      <c r="U29" s="677"/>
      <c r="V29" s="677"/>
      <c r="W29" s="677"/>
      <c r="X29" s="677"/>
      <c r="Y29" s="677"/>
      <c r="Z29" s="677"/>
      <c r="AA29" s="677"/>
      <c r="AB29" s="677"/>
      <c r="AC29" s="687"/>
    </row>
    <row r="30" spans="2:29">
      <c r="B30" s="672" t="s">
        <v>28</v>
      </c>
      <c r="C30" s="673">
        <v>5.4587599999999998</v>
      </c>
      <c r="D30" s="673">
        <v>5.0523299999999995</v>
      </c>
      <c r="E30" s="674">
        <v>92.554536195033293</v>
      </c>
      <c r="G30" s="675">
        <f>+'[5]3.5'!C36</f>
        <v>2340.6</v>
      </c>
      <c r="H30" s="675">
        <f>+'[5]3.5'!D36</f>
        <v>2314.31</v>
      </c>
      <c r="I30" s="676">
        <f>+'[5]3.5'!E36</f>
        <v>98.876783730667356</v>
      </c>
      <c r="J30" s="672" t="str">
        <f>+'[5]3.5'!B36</f>
        <v>Tlaxcala</v>
      </c>
      <c r="O30" s="686"/>
      <c r="Q30" s="677"/>
      <c r="R30" s="677"/>
      <c r="S30" s="677"/>
      <c r="T30" s="677"/>
      <c r="U30" s="677"/>
      <c r="V30" s="677"/>
      <c r="W30" s="677"/>
      <c r="X30" s="677"/>
      <c r="Y30" s="677"/>
      <c r="Z30" s="677"/>
      <c r="AA30" s="677"/>
      <c r="AB30" s="677"/>
      <c r="AC30" s="687"/>
    </row>
    <row r="31" spans="2:29">
      <c r="B31" s="672" t="s">
        <v>224</v>
      </c>
      <c r="C31" s="673">
        <v>14.680969999999999</v>
      </c>
      <c r="D31" s="673">
        <v>13.444240000000001</v>
      </c>
      <c r="E31" s="674">
        <v>91.575965348338713</v>
      </c>
      <c r="G31" s="675">
        <f>+'[5]3.5'!C37</f>
        <v>21795.32</v>
      </c>
      <c r="H31" s="675">
        <f>+'[5]3.5'!D37</f>
        <v>21348.15</v>
      </c>
      <c r="I31" s="676">
        <f>+'[5]3.5'!E37</f>
        <v>97.948321015704295</v>
      </c>
      <c r="J31" s="672" t="str">
        <f>+'[5]3.5'!B37</f>
        <v>Veracruz de Ignacio de la Llave</v>
      </c>
      <c r="O31" s="686"/>
      <c r="Q31" s="677"/>
      <c r="R31" s="677"/>
      <c r="S31" s="677"/>
      <c r="T31" s="677"/>
      <c r="U31" s="677"/>
      <c r="V31" s="677"/>
      <c r="W31" s="677"/>
      <c r="X31" s="677"/>
      <c r="Y31" s="677"/>
      <c r="Z31" s="677"/>
      <c r="AA31" s="677"/>
      <c r="AB31" s="677"/>
      <c r="AC31" s="687"/>
    </row>
    <row r="32" spans="2:29">
      <c r="B32" s="672" t="s">
        <v>12</v>
      </c>
      <c r="C32" s="673">
        <v>5.26</v>
      </c>
      <c r="D32" s="673">
        <v>4.7300000000000004</v>
      </c>
      <c r="E32" s="674">
        <v>89.923954372623569</v>
      </c>
      <c r="G32" s="675">
        <f>+'[5]3.5'!C38</f>
        <v>6593.24</v>
      </c>
      <c r="H32" s="675">
        <f>+'[5]3.5'!D38</f>
        <v>6118.74</v>
      </c>
      <c r="I32" s="676">
        <f>+'[5]3.5'!E38</f>
        <v>92.803234828399994</v>
      </c>
      <c r="J32" s="672" t="str">
        <f>+'[5]3.5'!B38</f>
        <v>Yucatán</v>
      </c>
      <c r="O32" s="686"/>
      <c r="Q32" s="679"/>
      <c r="R32" s="677"/>
      <c r="S32" s="677"/>
      <c r="T32" s="677"/>
      <c r="U32" s="677"/>
      <c r="V32" s="677"/>
      <c r="W32" s="677"/>
      <c r="X32" s="677"/>
      <c r="Y32" s="677"/>
      <c r="Z32" s="677"/>
      <c r="AA32" s="677"/>
      <c r="AB32" s="677"/>
      <c r="AC32" s="687"/>
    </row>
    <row r="33" spans="2:29">
      <c r="B33" s="672" t="s">
        <v>17</v>
      </c>
      <c r="C33" s="673">
        <v>7.6173400000000004</v>
      </c>
      <c r="D33" s="673">
        <v>6.7006600000000001</v>
      </c>
      <c r="E33" s="674">
        <v>87.965877852373666</v>
      </c>
      <c r="G33" s="675">
        <f>+'[5]3.5'!C39</f>
        <v>6349.74</v>
      </c>
      <c r="H33" s="675">
        <f>+'[5]3.5'!D39</f>
        <v>6242.64</v>
      </c>
      <c r="I33" s="676">
        <f>+'[5]3.5'!E39</f>
        <v>98.313316765725844</v>
      </c>
      <c r="J33" s="672" t="str">
        <f>+'[5]3.5'!B39</f>
        <v>Zacatecas</v>
      </c>
      <c r="O33" s="686"/>
      <c r="Q33" s="677"/>
      <c r="R33" s="677"/>
      <c r="S33" s="677"/>
      <c r="T33" s="677"/>
      <c r="U33" s="677"/>
      <c r="V33" s="677"/>
      <c r="W33" s="677"/>
      <c r="X33" s="677"/>
      <c r="Y33" s="677"/>
      <c r="Z33" s="677"/>
      <c r="AA33" s="677"/>
      <c r="AB33" s="677"/>
      <c r="AC33" s="687"/>
    </row>
    <row r="34" spans="2:29" ht="15">
      <c r="B34" s="680" t="s">
        <v>442</v>
      </c>
      <c r="C34" s="681">
        <f>SUM(C2:C33)</f>
        <v>328.24273999999997</v>
      </c>
      <c r="D34" s="681">
        <f>SUM(D2:D33)</f>
        <v>317.39474000000007</v>
      </c>
      <c r="E34" s="682" t="e">
        <f>I34</f>
        <v>#REF!</v>
      </c>
      <c r="G34" s="683">
        <f>SUM(G2:G33)</f>
        <v>328242.74</v>
      </c>
      <c r="H34" s="683">
        <f>SUM(H2:H33)</f>
        <v>317394.74</v>
      </c>
      <c r="I34" s="676" t="e">
        <f>H34/G34*#REF!</f>
        <v>#REF!</v>
      </c>
      <c r="O34" s="686"/>
      <c r="Q34" s="677"/>
      <c r="R34" s="677"/>
      <c r="S34" s="677"/>
      <c r="T34" s="677"/>
      <c r="U34" s="677"/>
      <c r="V34" s="677"/>
      <c r="W34" s="677"/>
      <c r="X34" s="677"/>
      <c r="Y34" s="677"/>
      <c r="Z34" s="677"/>
      <c r="AA34" s="677"/>
      <c r="AB34" s="677"/>
      <c r="AC34" s="687"/>
    </row>
    <row r="35" spans="2:29" ht="13.5" thickBot="1">
      <c r="O35" s="688"/>
      <c r="P35" s="689"/>
      <c r="Q35" s="690"/>
      <c r="R35" s="690"/>
      <c r="S35" s="690"/>
      <c r="T35" s="690"/>
      <c r="U35" s="690"/>
      <c r="V35" s="690"/>
      <c r="W35" s="690"/>
      <c r="X35" s="690"/>
      <c r="Y35" s="690"/>
      <c r="Z35" s="690"/>
      <c r="AA35" s="690"/>
      <c r="AB35" s="690"/>
      <c r="AC35" s="691"/>
    </row>
    <row r="36" spans="2:29" ht="6.75" customHeight="1" thickTop="1">
      <c r="R36" s="677"/>
      <c r="S36" s="677"/>
      <c r="T36" s="677"/>
      <c r="U36" s="677"/>
      <c r="V36" s="677"/>
      <c r="W36" s="677"/>
      <c r="X36" s="677"/>
      <c r="Y36" s="677"/>
      <c r="Z36" s="677"/>
      <c r="AA36" s="677"/>
      <c r="AB36" s="677"/>
      <c r="AC36" s="677"/>
    </row>
    <row r="37" spans="2:29">
      <c r="O37" s="866" t="s">
        <v>580</v>
      </c>
      <c r="Q37" s="677"/>
      <c r="R37" s="677"/>
      <c r="S37" s="677"/>
      <c r="T37" s="677"/>
      <c r="U37" s="677"/>
      <c r="V37" s="677"/>
      <c r="W37" s="677"/>
      <c r="X37" s="677"/>
      <c r="Y37" s="677"/>
      <c r="Z37" s="677"/>
      <c r="AA37" s="677"/>
      <c r="AB37" s="677"/>
      <c r="AC37" s="677"/>
    </row>
    <row r="38" spans="2:29">
      <c r="Q38" s="677"/>
      <c r="R38" s="677"/>
      <c r="S38" s="677"/>
      <c r="T38" s="677"/>
      <c r="U38" s="677"/>
      <c r="V38" s="677"/>
      <c r="W38" s="677"/>
      <c r="X38" s="677"/>
      <c r="Y38" s="677"/>
      <c r="Z38" s="677"/>
      <c r="AA38" s="677"/>
      <c r="AB38" s="677"/>
      <c r="AC38" s="677"/>
    </row>
    <row r="41" spans="2:29">
      <c r="C41" s="685"/>
    </row>
  </sheetData>
  <mergeCells count="1">
    <mergeCell ref="O2:AC2"/>
  </mergeCells>
  <printOptions horizontalCentered="1"/>
  <pageMargins left="0.74803149606299213" right="0.74803149606299213" top="0.98425196850393704" bottom="0.98425196850393704" header="0" footer="0"/>
  <pageSetup scale="72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Y42"/>
  <sheetViews>
    <sheetView showGridLines="0" topLeftCell="M11" zoomScale="75" zoomScaleNormal="75" zoomScaleSheetLayoutView="75" workbookViewId="0">
      <selection activeCell="Q47" sqref="Q47"/>
    </sheetView>
  </sheetViews>
  <sheetFormatPr baseColWidth="10" defaultColWidth="12.5703125" defaultRowHeight="12.75"/>
  <cols>
    <col min="1" max="1" width="2.7109375" style="526" customWidth="1"/>
    <col min="2" max="2" width="24.42578125" style="526" customWidth="1"/>
    <col min="3" max="4" width="10.7109375" style="526" customWidth="1"/>
    <col min="5" max="5" width="10.7109375" style="527" customWidth="1"/>
    <col min="6" max="6" width="10.7109375" style="526" customWidth="1"/>
    <col min="7" max="7" width="10.7109375" style="527" customWidth="1"/>
    <col min="8" max="8" width="10.7109375" style="526" customWidth="1"/>
    <col min="9" max="9" width="10.7109375" style="527" customWidth="1"/>
    <col min="10" max="12" width="10.7109375" style="526" customWidth="1"/>
    <col min="13" max="13" width="2.42578125" style="526" customWidth="1"/>
    <col min="14" max="14" width="24.42578125" style="526" customWidth="1"/>
    <col min="15" max="22" width="10.7109375" style="526" customWidth="1"/>
    <col min="23" max="23" width="12.42578125" style="526" customWidth="1"/>
    <col min="24" max="252" width="12.5703125" style="526"/>
    <col min="253" max="253" width="24.42578125" style="526" customWidth="1"/>
    <col min="254" max="255" width="11.7109375" style="526" customWidth="1"/>
    <col min="256" max="256" width="13.140625" style="526" customWidth="1"/>
    <col min="257" max="257" width="5.7109375" style="526" customWidth="1"/>
    <col min="258" max="258" width="11.7109375" style="526" customWidth="1"/>
    <col min="259" max="259" width="13.140625" style="526" customWidth="1"/>
    <col min="260" max="260" width="5.7109375" style="526" customWidth="1"/>
    <col min="261" max="261" width="11.7109375" style="526" customWidth="1"/>
    <col min="262" max="262" width="13.140625" style="526" customWidth="1"/>
    <col min="263" max="263" width="5.7109375" style="526" customWidth="1"/>
    <col min="264" max="264" width="13.28515625" style="526" customWidth="1"/>
    <col min="265" max="265" width="13.140625" style="526" customWidth="1"/>
    <col min="266" max="266" width="5.7109375" style="526" customWidth="1"/>
    <col min="267" max="267" width="13.28515625" style="526" customWidth="1"/>
    <col min="268" max="268" width="13.140625" style="526" customWidth="1"/>
    <col min="269" max="269" width="5.7109375" style="526" customWidth="1"/>
    <col min="270" max="270" width="13.28515625" style="526" bestFit="1" customWidth="1"/>
    <col min="271" max="271" width="13.140625" style="526" customWidth="1"/>
    <col min="272" max="272" width="5.7109375" style="526" customWidth="1"/>
    <col min="273" max="274" width="12.5703125" style="526"/>
    <col min="275" max="275" width="5.7109375" style="526" customWidth="1"/>
    <col min="276" max="277" width="12.5703125" style="526"/>
    <col min="278" max="278" width="5.7109375" style="526" customWidth="1"/>
    <col min="279" max="279" width="3.7109375" style="526" customWidth="1"/>
    <col min="280" max="508" width="12.5703125" style="526"/>
    <col min="509" max="509" width="24.42578125" style="526" customWidth="1"/>
    <col min="510" max="511" width="11.7109375" style="526" customWidth="1"/>
    <col min="512" max="512" width="13.140625" style="526" customWidth="1"/>
    <col min="513" max="513" width="5.7109375" style="526" customWidth="1"/>
    <col min="514" max="514" width="11.7109375" style="526" customWidth="1"/>
    <col min="515" max="515" width="13.140625" style="526" customWidth="1"/>
    <col min="516" max="516" width="5.7109375" style="526" customWidth="1"/>
    <col min="517" max="517" width="11.7109375" style="526" customWidth="1"/>
    <col min="518" max="518" width="13.140625" style="526" customWidth="1"/>
    <col min="519" max="519" width="5.7109375" style="526" customWidth="1"/>
    <col min="520" max="520" width="13.28515625" style="526" customWidth="1"/>
    <col min="521" max="521" width="13.140625" style="526" customWidth="1"/>
    <col min="522" max="522" width="5.7109375" style="526" customWidth="1"/>
    <col min="523" max="523" width="13.28515625" style="526" customWidth="1"/>
    <col min="524" max="524" width="13.140625" style="526" customWidth="1"/>
    <col min="525" max="525" width="5.7109375" style="526" customWidth="1"/>
    <col min="526" max="526" width="13.28515625" style="526" bestFit="1" customWidth="1"/>
    <col min="527" max="527" width="13.140625" style="526" customWidth="1"/>
    <col min="528" max="528" width="5.7109375" style="526" customWidth="1"/>
    <col min="529" max="530" width="12.5703125" style="526"/>
    <col min="531" max="531" width="5.7109375" style="526" customWidth="1"/>
    <col min="532" max="533" width="12.5703125" style="526"/>
    <col min="534" max="534" width="5.7109375" style="526" customWidth="1"/>
    <col min="535" max="535" width="3.7109375" style="526" customWidth="1"/>
    <col min="536" max="764" width="12.5703125" style="526"/>
    <col min="765" max="765" width="24.42578125" style="526" customWidth="1"/>
    <col min="766" max="767" width="11.7109375" style="526" customWidth="1"/>
    <col min="768" max="768" width="13.140625" style="526" customWidth="1"/>
    <col min="769" max="769" width="5.7109375" style="526" customWidth="1"/>
    <col min="770" max="770" width="11.7109375" style="526" customWidth="1"/>
    <col min="771" max="771" width="13.140625" style="526" customWidth="1"/>
    <col min="772" max="772" width="5.7109375" style="526" customWidth="1"/>
    <col min="773" max="773" width="11.7109375" style="526" customWidth="1"/>
    <col min="774" max="774" width="13.140625" style="526" customWidth="1"/>
    <col min="775" max="775" width="5.7109375" style="526" customWidth="1"/>
    <col min="776" max="776" width="13.28515625" style="526" customWidth="1"/>
    <col min="777" max="777" width="13.140625" style="526" customWidth="1"/>
    <col min="778" max="778" width="5.7109375" style="526" customWidth="1"/>
    <col min="779" max="779" width="13.28515625" style="526" customWidth="1"/>
    <col min="780" max="780" width="13.140625" style="526" customWidth="1"/>
    <col min="781" max="781" width="5.7109375" style="526" customWidth="1"/>
    <col min="782" max="782" width="13.28515625" style="526" bestFit="1" customWidth="1"/>
    <col min="783" max="783" width="13.140625" style="526" customWidth="1"/>
    <col min="784" max="784" width="5.7109375" style="526" customWidth="1"/>
    <col min="785" max="786" width="12.5703125" style="526"/>
    <col min="787" max="787" width="5.7109375" style="526" customWidth="1"/>
    <col min="788" max="789" width="12.5703125" style="526"/>
    <col min="790" max="790" width="5.7109375" style="526" customWidth="1"/>
    <col min="791" max="791" width="3.7109375" style="526" customWidth="1"/>
    <col min="792" max="1020" width="12.5703125" style="526"/>
    <col min="1021" max="1021" width="24.42578125" style="526" customWidth="1"/>
    <col min="1022" max="1023" width="11.7109375" style="526" customWidth="1"/>
    <col min="1024" max="1024" width="13.140625" style="526" customWidth="1"/>
    <col min="1025" max="1025" width="5.7109375" style="526" customWidth="1"/>
    <col min="1026" max="1026" width="11.7109375" style="526" customWidth="1"/>
    <col min="1027" max="1027" width="13.140625" style="526" customWidth="1"/>
    <col min="1028" max="1028" width="5.7109375" style="526" customWidth="1"/>
    <col min="1029" max="1029" width="11.7109375" style="526" customWidth="1"/>
    <col min="1030" max="1030" width="13.140625" style="526" customWidth="1"/>
    <col min="1031" max="1031" width="5.7109375" style="526" customWidth="1"/>
    <col min="1032" max="1032" width="13.28515625" style="526" customWidth="1"/>
    <col min="1033" max="1033" width="13.140625" style="526" customWidth="1"/>
    <col min="1034" max="1034" width="5.7109375" style="526" customWidth="1"/>
    <col min="1035" max="1035" width="13.28515625" style="526" customWidth="1"/>
    <col min="1036" max="1036" width="13.140625" style="526" customWidth="1"/>
    <col min="1037" max="1037" width="5.7109375" style="526" customWidth="1"/>
    <col min="1038" max="1038" width="13.28515625" style="526" bestFit="1" customWidth="1"/>
    <col min="1039" max="1039" width="13.140625" style="526" customWidth="1"/>
    <col min="1040" max="1040" width="5.7109375" style="526" customWidth="1"/>
    <col min="1041" max="1042" width="12.5703125" style="526"/>
    <col min="1043" max="1043" width="5.7109375" style="526" customWidth="1"/>
    <col min="1044" max="1045" width="12.5703125" style="526"/>
    <col min="1046" max="1046" width="5.7109375" style="526" customWidth="1"/>
    <col min="1047" max="1047" width="3.7109375" style="526" customWidth="1"/>
    <col min="1048" max="1276" width="12.5703125" style="526"/>
    <col min="1277" max="1277" width="24.42578125" style="526" customWidth="1"/>
    <col min="1278" max="1279" width="11.7109375" style="526" customWidth="1"/>
    <col min="1280" max="1280" width="13.140625" style="526" customWidth="1"/>
    <col min="1281" max="1281" width="5.7109375" style="526" customWidth="1"/>
    <col min="1282" max="1282" width="11.7109375" style="526" customWidth="1"/>
    <col min="1283" max="1283" width="13.140625" style="526" customWidth="1"/>
    <col min="1284" max="1284" width="5.7109375" style="526" customWidth="1"/>
    <col min="1285" max="1285" width="11.7109375" style="526" customWidth="1"/>
    <col min="1286" max="1286" width="13.140625" style="526" customWidth="1"/>
    <col min="1287" max="1287" width="5.7109375" style="526" customWidth="1"/>
    <col min="1288" max="1288" width="13.28515625" style="526" customWidth="1"/>
    <col min="1289" max="1289" width="13.140625" style="526" customWidth="1"/>
    <col min="1290" max="1290" width="5.7109375" style="526" customWidth="1"/>
    <col min="1291" max="1291" width="13.28515625" style="526" customWidth="1"/>
    <col min="1292" max="1292" width="13.140625" style="526" customWidth="1"/>
    <col min="1293" max="1293" width="5.7109375" style="526" customWidth="1"/>
    <col min="1294" max="1294" width="13.28515625" style="526" bestFit="1" customWidth="1"/>
    <col min="1295" max="1295" width="13.140625" style="526" customWidth="1"/>
    <col min="1296" max="1296" width="5.7109375" style="526" customWidth="1"/>
    <col min="1297" max="1298" width="12.5703125" style="526"/>
    <col min="1299" max="1299" width="5.7109375" style="526" customWidth="1"/>
    <col min="1300" max="1301" width="12.5703125" style="526"/>
    <col min="1302" max="1302" width="5.7109375" style="526" customWidth="1"/>
    <col min="1303" max="1303" width="3.7109375" style="526" customWidth="1"/>
    <col min="1304" max="1532" width="12.5703125" style="526"/>
    <col min="1533" max="1533" width="24.42578125" style="526" customWidth="1"/>
    <col min="1534" max="1535" width="11.7109375" style="526" customWidth="1"/>
    <col min="1536" max="1536" width="13.140625" style="526" customWidth="1"/>
    <col min="1537" max="1537" width="5.7109375" style="526" customWidth="1"/>
    <col min="1538" max="1538" width="11.7109375" style="526" customWidth="1"/>
    <col min="1539" max="1539" width="13.140625" style="526" customWidth="1"/>
    <col min="1540" max="1540" width="5.7109375" style="526" customWidth="1"/>
    <col min="1541" max="1541" width="11.7109375" style="526" customWidth="1"/>
    <col min="1542" max="1542" width="13.140625" style="526" customWidth="1"/>
    <col min="1543" max="1543" width="5.7109375" style="526" customWidth="1"/>
    <col min="1544" max="1544" width="13.28515625" style="526" customWidth="1"/>
    <col min="1545" max="1545" width="13.140625" style="526" customWidth="1"/>
    <col min="1546" max="1546" width="5.7109375" style="526" customWidth="1"/>
    <col min="1547" max="1547" width="13.28515625" style="526" customWidth="1"/>
    <col min="1548" max="1548" width="13.140625" style="526" customWidth="1"/>
    <col min="1549" max="1549" width="5.7109375" style="526" customWidth="1"/>
    <col min="1550" max="1550" width="13.28515625" style="526" bestFit="1" customWidth="1"/>
    <col min="1551" max="1551" width="13.140625" style="526" customWidth="1"/>
    <col min="1552" max="1552" width="5.7109375" style="526" customWidth="1"/>
    <col min="1553" max="1554" width="12.5703125" style="526"/>
    <col min="1555" max="1555" width="5.7109375" style="526" customWidth="1"/>
    <col min="1556" max="1557" width="12.5703125" style="526"/>
    <col min="1558" max="1558" width="5.7109375" style="526" customWidth="1"/>
    <col min="1559" max="1559" width="3.7109375" style="526" customWidth="1"/>
    <col min="1560" max="1788" width="12.5703125" style="526"/>
    <col min="1789" max="1789" width="24.42578125" style="526" customWidth="1"/>
    <col min="1790" max="1791" width="11.7109375" style="526" customWidth="1"/>
    <col min="1792" max="1792" width="13.140625" style="526" customWidth="1"/>
    <col min="1793" max="1793" width="5.7109375" style="526" customWidth="1"/>
    <col min="1794" max="1794" width="11.7109375" style="526" customWidth="1"/>
    <col min="1795" max="1795" width="13.140625" style="526" customWidth="1"/>
    <col min="1796" max="1796" width="5.7109375" style="526" customWidth="1"/>
    <col min="1797" max="1797" width="11.7109375" style="526" customWidth="1"/>
    <col min="1798" max="1798" width="13.140625" style="526" customWidth="1"/>
    <col min="1799" max="1799" width="5.7109375" style="526" customWidth="1"/>
    <col min="1800" max="1800" width="13.28515625" style="526" customWidth="1"/>
    <col min="1801" max="1801" width="13.140625" style="526" customWidth="1"/>
    <col min="1802" max="1802" width="5.7109375" style="526" customWidth="1"/>
    <col min="1803" max="1803" width="13.28515625" style="526" customWidth="1"/>
    <col min="1804" max="1804" width="13.140625" style="526" customWidth="1"/>
    <col min="1805" max="1805" width="5.7109375" style="526" customWidth="1"/>
    <col min="1806" max="1806" width="13.28515625" style="526" bestFit="1" customWidth="1"/>
    <col min="1807" max="1807" width="13.140625" style="526" customWidth="1"/>
    <col min="1808" max="1808" width="5.7109375" style="526" customWidth="1"/>
    <col min="1809" max="1810" width="12.5703125" style="526"/>
    <col min="1811" max="1811" width="5.7109375" style="526" customWidth="1"/>
    <col min="1812" max="1813" width="12.5703125" style="526"/>
    <col min="1814" max="1814" width="5.7109375" style="526" customWidth="1"/>
    <col min="1815" max="1815" width="3.7109375" style="526" customWidth="1"/>
    <col min="1816" max="2044" width="12.5703125" style="526"/>
    <col min="2045" max="2045" width="24.42578125" style="526" customWidth="1"/>
    <col min="2046" max="2047" width="11.7109375" style="526" customWidth="1"/>
    <col min="2048" max="2048" width="13.140625" style="526" customWidth="1"/>
    <col min="2049" max="2049" width="5.7109375" style="526" customWidth="1"/>
    <col min="2050" max="2050" width="11.7109375" style="526" customWidth="1"/>
    <col min="2051" max="2051" width="13.140625" style="526" customWidth="1"/>
    <col min="2052" max="2052" width="5.7109375" style="526" customWidth="1"/>
    <col min="2053" max="2053" width="11.7109375" style="526" customWidth="1"/>
    <col min="2054" max="2054" width="13.140625" style="526" customWidth="1"/>
    <col min="2055" max="2055" width="5.7109375" style="526" customWidth="1"/>
    <col min="2056" max="2056" width="13.28515625" style="526" customWidth="1"/>
    <col min="2057" max="2057" width="13.140625" style="526" customWidth="1"/>
    <col min="2058" max="2058" width="5.7109375" style="526" customWidth="1"/>
    <col min="2059" max="2059" width="13.28515625" style="526" customWidth="1"/>
    <col min="2060" max="2060" width="13.140625" style="526" customWidth="1"/>
    <col min="2061" max="2061" width="5.7109375" style="526" customWidth="1"/>
    <col min="2062" max="2062" width="13.28515625" style="526" bestFit="1" customWidth="1"/>
    <col min="2063" max="2063" width="13.140625" style="526" customWidth="1"/>
    <col min="2064" max="2064" width="5.7109375" style="526" customWidth="1"/>
    <col min="2065" max="2066" width="12.5703125" style="526"/>
    <col min="2067" max="2067" width="5.7109375" style="526" customWidth="1"/>
    <col min="2068" max="2069" width="12.5703125" style="526"/>
    <col min="2070" max="2070" width="5.7109375" style="526" customWidth="1"/>
    <col min="2071" max="2071" width="3.7109375" style="526" customWidth="1"/>
    <col min="2072" max="2300" width="12.5703125" style="526"/>
    <col min="2301" max="2301" width="24.42578125" style="526" customWidth="1"/>
    <col min="2302" max="2303" width="11.7109375" style="526" customWidth="1"/>
    <col min="2304" max="2304" width="13.140625" style="526" customWidth="1"/>
    <col min="2305" max="2305" width="5.7109375" style="526" customWidth="1"/>
    <col min="2306" max="2306" width="11.7109375" style="526" customWidth="1"/>
    <col min="2307" max="2307" width="13.140625" style="526" customWidth="1"/>
    <col min="2308" max="2308" width="5.7109375" style="526" customWidth="1"/>
    <col min="2309" max="2309" width="11.7109375" style="526" customWidth="1"/>
    <col min="2310" max="2310" width="13.140625" style="526" customWidth="1"/>
    <col min="2311" max="2311" width="5.7109375" style="526" customWidth="1"/>
    <col min="2312" max="2312" width="13.28515625" style="526" customWidth="1"/>
    <col min="2313" max="2313" width="13.140625" style="526" customWidth="1"/>
    <col min="2314" max="2314" width="5.7109375" style="526" customWidth="1"/>
    <col min="2315" max="2315" width="13.28515625" style="526" customWidth="1"/>
    <col min="2316" max="2316" width="13.140625" style="526" customWidth="1"/>
    <col min="2317" max="2317" width="5.7109375" style="526" customWidth="1"/>
    <col min="2318" max="2318" width="13.28515625" style="526" bestFit="1" customWidth="1"/>
    <col min="2319" max="2319" width="13.140625" style="526" customWidth="1"/>
    <col min="2320" max="2320" width="5.7109375" style="526" customWidth="1"/>
    <col min="2321" max="2322" width="12.5703125" style="526"/>
    <col min="2323" max="2323" width="5.7109375" style="526" customWidth="1"/>
    <col min="2324" max="2325" width="12.5703125" style="526"/>
    <col min="2326" max="2326" width="5.7109375" style="526" customWidth="1"/>
    <col min="2327" max="2327" width="3.7109375" style="526" customWidth="1"/>
    <col min="2328" max="2556" width="12.5703125" style="526"/>
    <col min="2557" max="2557" width="24.42578125" style="526" customWidth="1"/>
    <col min="2558" max="2559" width="11.7109375" style="526" customWidth="1"/>
    <col min="2560" max="2560" width="13.140625" style="526" customWidth="1"/>
    <col min="2561" max="2561" width="5.7109375" style="526" customWidth="1"/>
    <col min="2562" max="2562" width="11.7109375" style="526" customWidth="1"/>
    <col min="2563" max="2563" width="13.140625" style="526" customWidth="1"/>
    <col min="2564" max="2564" width="5.7109375" style="526" customWidth="1"/>
    <col min="2565" max="2565" width="11.7109375" style="526" customWidth="1"/>
    <col min="2566" max="2566" width="13.140625" style="526" customWidth="1"/>
    <col min="2567" max="2567" width="5.7109375" style="526" customWidth="1"/>
    <col min="2568" max="2568" width="13.28515625" style="526" customWidth="1"/>
    <col min="2569" max="2569" width="13.140625" style="526" customWidth="1"/>
    <col min="2570" max="2570" width="5.7109375" style="526" customWidth="1"/>
    <col min="2571" max="2571" width="13.28515625" style="526" customWidth="1"/>
    <col min="2572" max="2572" width="13.140625" style="526" customWidth="1"/>
    <col min="2573" max="2573" width="5.7109375" style="526" customWidth="1"/>
    <col min="2574" max="2574" width="13.28515625" style="526" bestFit="1" customWidth="1"/>
    <col min="2575" max="2575" width="13.140625" style="526" customWidth="1"/>
    <col min="2576" max="2576" width="5.7109375" style="526" customWidth="1"/>
    <col min="2577" max="2578" width="12.5703125" style="526"/>
    <col min="2579" max="2579" width="5.7109375" style="526" customWidth="1"/>
    <col min="2580" max="2581" width="12.5703125" style="526"/>
    <col min="2582" max="2582" width="5.7109375" style="526" customWidth="1"/>
    <col min="2583" max="2583" width="3.7109375" style="526" customWidth="1"/>
    <col min="2584" max="2812" width="12.5703125" style="526"/>
    <col min="2813" max="2813" width="24.42578125" style="526" customWidth="1"/>
    <col min="2814" max="2815" width="11.7109375" style="526" customWidth="1"/>
    <col min="2816" max="2816" width="13.140625" style="526" customWidth="1"/>
    <col min="2817" max="2817" width="5.7109375" style="526" customWidth="1"/>
    <col min="2818" max="2818" width="11.7109375" style="526" customWidth="1"/>
    <col min="2819" max="2819" width="13.140625" style="526" customWidth="1"/>
    <col min="2820" max="2820" width="5.7109375" style="526" customWidth="1"/>
    <col min="2821" max="2821" width="11.7109375" style="526" customWidth="1"/>
    <col min="2822" max="2822" width="13.140625" style="526" customWidth="1"/>
    <col min="2823" max="2823" width="5.7109375" style="526" customWidth="1"/>
    <col min="2824" max="2824" width="13.28515625" style="526" customWidth="1"/>
    <col min="2825" max="2825" width="13.140625" style="526" customWidth="1"/>
    <col min="2826" max="2826" width="5.7109375" style="526" customWidth="1"/>
    <col min="2827" max="2827" width="13.28515625" style="526" customWidth="1"/>
    <col min="2828" max="2828" width="13.140625" style="526" customWidth="1"/>
    <col min="2829" max="2829" width="5.7109375" style="526" customWidth="1"/>
    <col min="2830" max="2830" width="13.28515625" style="526" bestFit="1" customWidth="1"/>
    <col min="2831" max="2831" width="13.140625" style="526" customWidth="1"/>
    <col min="2832" max="2832" width="5.7109375" style="526" customWidth="1"/>
    <col min="2833" max="2834" width="12.5703125" style="526"/>
    <col min="2835" max="2835" width="5.7109375" style="526" customWidth="1"/>
    <col min="2836" max="2837" width="12.5703125" style="526"/>
    <col min="2838" max="2838" width="5.7109375" style="526" customWidth="1"/>
    <col min="2839" max="2839" width="3.7109375" style="526" customWidth="1"/>
    <col min="2840" max="3068" width="12.5703125" style="526"/>
    <col min="3069" max="3069" width="24.42578125" style="526" customWidth="1"/>
    <col min="3070" max="3071" width="11.7109375" style="526" customWidth="1"/>
    <col min="3072" max="3072" width="13.140625" style="526" customWidth="1"/>
    <col min="3073" max="3073" width="5.7109375" style="526" customWidth="1"/>
    <col min="3074" max="3074" width="11.7109375" style="526" customWidth="1"/>
    <col min="3075" max="3075" width="13.140625" style="526" customWidth="1"/>
    <col min="3076" max="3076" width="5.7109375" style="526" customWidth="1"/>
    <col min="3077" max="3077" width="11.7109375" style="526" customWidth="1"/>
    <col min="3078" max="3078" width="13.140625" style="526" customWidth="1"/>
    <col min="3079" max="3079" width="5.7109375" style="526" customWidth="1"/>
    <col min="3080" max="3080" width="13.28515625" style="526" customWidth="1"/>
    <col min="3081" max="3081" width="13.140625" style="526" customWidth="1"/>
    <col min="3082" max="3082" width="5.7109375" style="526" customWidth="1"/>
    <col min="3083" max="3083" width="13.28515625" style="526" customWidth="1"/>
    <col min="3084" max="3084" width="13.140625" style="526" customWidth="1"/>
    <col min="3085" max="3085" width="5.7109375" style="526" customWidth="1"/>
    <col min="3086" max="3086" width="13.28515625" style="526" bestFit="1" customWidth="1"/>
    <col min="3087" max="3087" width="13.140625" style="526" customWidth="1"/>
    <col min="3088" max="3088" width="5.7109375" style="526" customWidth="1"/>
    <col min="3089" max="3090" width="12.5703125" style="526"/>
    <col min="3091" max="3091" width="5.7109375" style="526" customWidth="1"/>
    <col min="3092" max="3093" width="12.5703125" style="526"/>
    <col min="3094" max="3094" width="5.7109375" style="526" customWidth="1"/>
    <col min="3095" max="3095" width="3.7109375" style="526" customWidth="1"/>
    <col min="3096" max="3324" width="12.5703125" style="526"/>
    <col min="3325" max="3325" width="24.42578125" style="526" customWidth="1"/>
    <col min="3326" max="3327" width="11.7109375" style="526" customWidth="1"/>
    <col min="3328" max="3328" width="13.140625" style="526" customWidth="1"/>
    <col min="3329" max="3329" width="5.7109375" style="526" customWidth="1"/>
    <col min="3330" max="3330" width="11.7109375" style="526" customWidth="1"/>
    <col min="3331" max="3331" width="13.140625" style="526" customWidth="1"/>
    <col min="3332" max="3332" width="5.7109375" style="526" customWidth="1"/>
    <col min="3333" max="3333" width="11.7109375" style="526" customWidth="1"/>
    <col min="3334" max="3334" width="13.140625" style="526" customWidth="1"/>
    <col min="3335" max="3335" width="5.7109375" style="526" customWidth="1"/>
    <col min="3336" max="3336" width="13.28515625" style="526" customWidth="1"/>
    <col min="3337" max="3337" width="13.140625" style="526" customWidth="1"/>
    <col min="3338" max="3338" width="5.7109375" style="526" customWidth="1"/>
    <col min="3339" max="3339" width="13.28515625" style="526" customWidth="1"/>
    <col min="3340" max="3340" width="13.140625" style="526" customWidth="1"/>
    <col min="3341" max="3341" width="5.7109375" style="526" customWidth="1"/>
    <col min="3342" max="3342" width="13.28515625" style="526" bestFit="1" customWidth="1"/>
    <col min="3343" max="3343" width="13.140625" style="526" customWidth="1"/>
    <col min="3344" max="3344" width="5.7109375" style="526" customWidth="1"/>
    <col min="3345" max="3346" width="12.5703125" style="526"/>
    <col min="3347" max="3347" width="5.7109375" style="526" customWidth="1"/>
    <col min="3348" max="3349" width="12.5703125" style="526"/>
    <col min="3350" max="3350" width="5.7109375" style="526" customWidth="1"/>
    <col min="3351" max="3351" width="3.7109375" style="526" customWidth="1"/>
    <col min="3352" max="3580" width="12.5703125" style="526"/>
    <col min="3581" max="3581" width="24.42578125" style="526" customWidth="1"/>
    <col min="3582" max="3583" width="11.7109375" style="526" customWidth="1"/>
    <col min="3584" max="3584" width="13.140625" style="526" customWidth="1"/>
    <col min="3585" max="3585" width="5.7109375" style="526" customWidth="1"/>
    <col min="3586" max="3586" width="11.7109375" style="526" customWidth="1"/>
    <col min="3587" max="3587" width="13.140625" style="526" customWidth="1"/>
    <col min="3588" max="3588" width="5.7109375" style="526" customWidth="1"/>
    <col min="3589" max="3589" width="11.7109375" style="526" customWidth="1"/>
    <col min="3590" max="3590" width="13.140625" style="526" customWidth="1"/>
    <col min="3591" max="3591" width="5.7109375" style="526" customWidth="1"/>
    <col min="3592" max="3592" width="13.28515625" style="526" customWidth="1"/>
    <col min="3593" max="3593" width="13.140625" style="526" customWidth="1"/>
    <col min="3594" max="3594" width="5.7109375" style="526" customWidth="1"/>
    <col min="3595" max="3595" width="13.28515625" style="526" customWidth="1"/>
    <col min="3596" max="3596" width="13.140625" style="526" customWidth="1"/>
    <col min="3597" max="3597" width="5.7109375" style="526" customWidth="1"/>
    <col min="3598" max="3598" width="13.28515625" style="526" bestFit="1" customWidth="1"/>
    <col min="3599" max="3599" width="13.140625" style="526" customWidth="1"/>
    <col min="3600" max="3600" width="5.7109375" style="526" customWidth="1"/>
    <col min="3601" max="3602" width="12.5703125" style="526"/>
    <col min="3603" max="3603" width="5.7109375" style="526" customWidth="1"/>
    <col min="3604" max="3605" width="12.5703125" style="526"/>
    <col min="3606" max="3606" width="5.7109375" style="526" customWidth="1"/>
    <col min="3607" max="3607" width="3.7109375" style="526" customWidth="1"/>
    <col min="3608" max="3836" width="12.5703125" style="526"/>
    <col min="3837" max="3837" width="24.42578125" style="526" customWidth="1"/>
    <col min="3838" max="3839" width="11.7109375" style="526" customWidth="1"/>
    <col min="3840" max="3840" width="13.140625" style="526" customWidth="1"/>
    <col min="3841" max="3841" width="5.7109375" style="526" customWidth="1"/>
    <col min="3842" max="3842" width="11.7109375" style="526" customWidth="1"/>
    <col min="3843" max="3843" width="13.140625" style="526" customWidth="1"/>
    <col min="3844" max="3844" width="5.7109375" style="526" customWidth="1"/>
    <col min="3845" max="3845" width="11.7109375" style="526" customWidth="1"/>
    <col min="3846" max="3846" width="13.140625" style="526" customWidth="1"/>
    <col min="3847" max="3847" width="5.7109375" style="526" customWidth="1"/>
    <col min="3848" max="3848" width="13.28515625" style="526" customWidth="1"/>
    <col min="3849" max="3849" width="13.140625" style="526" customWidth="1"/>
    <col min="3850" max="3850" width="5.7109375" style="526" customWidth="1"/>
    <col min="3851" max="3851" width="13.28515625" style="526" customWidth="1"/>
    <col min="3852" max="3852" width="13.140625" style="526" customWidth="1"/>
    <col min="3853" max="3853" width="5.7109375" style="526" customWidth="1"/>
    <col min="3854" max="3854" width="13.28515625" style="526" bestFit="1" customWidth="1"/>
    <col min="3855" max="3855" width="13.140625" style="526" customWidth="1"/>
    <col min="3856" max="3856" width="5.7109375" style="526" customWidth="1"/>
    <col min="3857" max="3858" width="12.5703125" style="526"/>
    <col min="3859" max="3859" width="5.7109375" style="526" customWidth="1"/>
    <col min="3860" max="3861" width="12.5703125" style="526"/>
    <col min="3862" max="3862" width="5.7109375" style="526" customWidth="1"/>
    <col min="3863" max="3863" width="3.7109375" style="526" customWidth="1"/>
    <col min="3864" max="4092" width="12.5703125" style="526"/>
    <col min="4093" max="4093" width="24.42578125" style="526" customWidth="1"/>
    <col min="4094" max="4095" width="11.7109375" style="526" customWidth="1"/>
    <col min="4096" max="4096" width="13.140625" style="526" customWidth="1"/>
    <col min="4097" max="4097" width="5.7109375" style="526" customWidth="1"/>
    <col min="4098" max="4098" width="11.7109375" style="526" customWidth="1"/>
    <col min="4099" max="4099" width="13.140625" style="526" customWidth="1"/>
    <col min="4100" max="4100" width="5.7109375" style="526" customWidth="1"/>
    <col min="4101" max="4101" width="11.7109375" style="526" customWidth="1"/>
    <col min="4102" max="4102" width="13.140625" style="526" customWidth="1"/>
    <col min="4103" max="4103" width="5.7109375" style="526" customWidth="1"/>
    <col min="4104" max="4104" width="13.28515625" style="526" customWidth="1"/>
    <col min="4105" max="4105" width="13.140625" style="526" customWidth="1"/>
    <col min="4106" max="4106" width="5.7109375" style="526" customWidth="1"/>
    <col min="4107" max="4107" width="13.28515625" style="526" customWidth="1"/>
    <col min="4108" max="4108" width="13.140625" style="526" customWidth="1"/>
    <col min="4109" max="4109" width="5.7109375" style="526" customWidth="1"/>
    <col min="4110" max="4110" width="13.28515625" style="526" bestFit="1" customWidth="1"/>
    <col min="4111" max="4111" width="13.140625" style="526" customWidth="1"/>
    <col min="4112" max="4112" width="5.7109375" style="526" customWidth="1"/>
    <col min="4113" max="4114" width="12.5703125" style="526"/>
    <col min="4115" max="4115" width="5.7109375" style="526" customWidth="1"/>
    <col min="4116" max="4117" width="12.5703125" style="526"/>
    <col min="4118" max="4118" width="5.7109375" style="526" customWidth="1"/>
    <col min="4119" max="4119" width="3.7109375" style="526" customWidth="1"/>
    <col min="4120" max="4348" width="12.5703125" style="526"/>
    <col min="4349" max="4349" width="24.42578125" style="526" customWidth="1"/>
    <col min="4350" max="4351" width="11.7109375" style="526" customWidth="1"/>
    <col min="4352" max="4352" width="13.140625" style="526" customWidth="1"/>
    <col min="4353" max="4353" width="5.7109375" style="526" customWidth="1"/>
    <col min="4354" max="4354" width="11.7109375" style="526" customWidth="1"/>
    <col min="4355" max="4355" width="13.140625" style="526" customWidth="1"/>
    <col min="4356" max="4356" width="5.7109375" style="526" customWidth="1"/>
    <col min="4357" max="4357" width="11.7109375" style="526" customWidth="1"/>
    <col min="4358" max="4358" width="13.140625" style="526" customWidth="1"/>
    <col min="4359" max="4359" width="5.7109375" style="526" customWidth="1"/>
    <col min="4360" max="4360" width="13.28515625" style="526" customWidth="1"/>
    <col min="4361" max="4361" width="13.140625" style="526" customWidth="1"/>
    <col min="4362" max="4362" width="5.7109375" style="526" customWidth="1"/>
    <col min="4363" max="4363" width="13.28515625" style="526" customWidth="1"/>
    <col min="4364" max="4364" width="13.140625" style="526" customWidth="1"/>
    <col min="4365" max="4365" width="5.7109375" style="526" customWidth="1"/>
    <col min="4366" max="4366" width="13.28515625" style="526" bestFit="1" customWidth="1"/>
    <col min="4367" max="4367" width="13.140625" style="526" customWidth="1"/>
    <col min="4368" max="4368" width="5.7109375" style="526" customWidth="1"/>
    <col min="4369" max="4370" width="12.5703125" style="526"/>
    <col min="4371" max="4371" width="5.7109375" style="526" customWidth="1"/>
    <col min="4372" max="4373" width="12.5703125" style="526"/>
    <col min="4374" max="4374" width="5.7109375" style="526" customWidth="1"/>
    <col min="4375" max="4375" width="3.7109375" style="526" customWidth="1"/>
    <col min="4376" max="4604" width="12.5703125" style="526"/>
    <col min="4605" max="4605" width="24.42578125" style="526" customWidth="1"/>
    <col min="4606" max="4607" width="11.7109375" style="526" customWidth="1"/>
    <col min="4608" max="4608" width="13.140625" style="526" customWidth="1"/>
    <col min="4609" max="4609" width="5.7109375" style="526" customWidth="1"/>
    <col min="4610" max="4610" width="11.7109375" style="526" customWidth="1"/>
    <col min="4611" max="4611" width="13.140625" style="526" customWidth="1"/>
    <col min="4612" max="4612" width="5.7109375" style="526" customWidth="1"/>
    <col min="4613" max="4613" width="11.7109375" style="526" customWidth="1"/>
    <col min="4614" max="4614" width="13.140625" style="526" customWidth="1"/>
    <col min="4615" max="4615" width="5.7109375" style="526" customWidth="1"/>
    <col min="4616" max="4616" width="13.28515625" style="526" customWidth="1"/>
    <col min="4617" max="4617" width="13.140625" style="526" customWidth="1"/>
    <col min="4618" max="4618" width="5.7109375" style="526" customWidth="1"/>
    <col min="4619" max="4619" width="13.28515625" style="526" customWidth="1"/>
    <col min="4620" max="4620" width="13.140625" style="526" customWidth="1"/>
    <col min="4621" max="4621" width="5.7109375" style="526" customWidth="1"/>
    <col min="4622" max="4622" width="13.28515625" style="526" bestFit="1" customWidth="1"/>
    <col min="4623" max="4623" width="13.140625" style="526" customWidth="1"/>
    <col min="4624" max="4624" width="5.7109375" style="526" customWidth="1"/>
    <col min="4625" max="4626" width="12.5703125" style="526"/>
    <col min="4627" max="4627" width="5.7109375" style="526" customWidth="1"/>
    <col min="4628" max="4629" width="12.5703125" style="526"/>
    <col min="4630" max="4630" width="5.7109375" style="526" customWidth="1"/>
    <col min="4631" max="4631" width="3.7109375" style="526" customWidth="1"/>
    <col min="4632" max="4860" width="12.5703125" style="526"/>
    <col min="4861" max="4861" width="24.42578125" style="526" customWidth="1"/>
    <col min="4862" max="4863" width="11.7109375" style="526" customWidth="1"/>
    <col min="4864" max="4864" width="13.140625" style="526" customWidth="1"/>
    <col min="4865" max="4865" width="5.7109375" style="526" customWidth="1"/>
    <col min="4866" max="4866" width="11.7109375" style="526" customWidth="1"/>
    <col min="4867" max="4867" width="13.140625" style="526" customWidth="1"/>
    <col min="4868" max="4868" width="5.7109375" style="526" customWidth="1"/>
    <col min="4869" max="4869" width="11.7109375" style="526" customWidth="1"/>
    <col min="4870" max="4870" width="13.140625" style="526" customWidth="1"/>
    <col min="4871" max="4871" width="5.7109375" style="526" customWidth="1"/>
    <col min="4872" max="4872" width="13.28515625" style="526" customWidth="1"/>
    <col min="4873" max="4873" width="13.140625" style="526" customWidth="1"/>
    <col min="4874" max="4874" width="5.7109375" style="526" customWidth="1"/>
    <col min="4875" max="4875" width="13.28515625" style="526" customWidth="1"/>
    <col min="4876" max="4876" width="13.140625" style="526" customWidth="1"/>
    <col min="4877" max="4877" width="5.7109375" style="526" customWidth="1"/>
    <col min="4878" max="4878" width="13.28515625" style="526" bestFit="1" customWidth="1"/>
    <col min="4879" max="4879" width="13.140625" style="526" customWidth="1"/>
    <col min="4880" max="4880" width="5.7109375" style="526" customWidth="1"/>
    <col min="4881" max="4882" width="12.5703125" style="526"/>
    <col min="4883" max="4883" width="5.7109375" style="526" customWidth="1"/>
    <col min="4884" max="4885" width="12.5703125" style="526"/>
    <col min="4886" max="4886" width="5.7109375" style="526" customWidth="1"/>
    <col min="4887" max="4887" width="3.7109375" style="526" customWidth="1"/>
    <col min="4888" max="5116" width="12.5703125" style="526"/>
    <col min="5117" max="5117" width="24.42578125" style="526" customWidth="1"/>
    <col min="5118" max="5119" width="11.7109375" style="526" customWidth="1"/>
    <col min="5120" max="5120" width="13.140625" style="526" customWidth="1"/>
    <col min="5121" max="5121" width="5.7109375" style="526" customWidth="1"/>
    <col min="5122" max="5122" width="11.7109375" style="526" customWidth="1"/>
    <col min="5123" max="5123" width="13.140625" style="526" customWidth="1"/>
    <col min="5124" max="5124" width="5.7109375" style="526" customWidth="1"/>
    <col min="5125" max="5125" width="11.7109375" style="526" customWidth="1"/>
    <col min="5126" max="5126" width="13.140625" style="526" customWidth="1"/>
    <col min="5127" max="5127" width="5.7109375" style="526" customWidth="1"/>
    <col min="5128" max="5128" width="13.28515625" style="526" customWidth="1"/>
    <col min="5129" max="5129" width="13.140625" style="526" customWidth="1"/>
    <col min="5130" max="5130" width="5.7109375" style="526" customWidth="1"/>
    <col min="5131" max="5131" width="13.28515625" style="526" customWidth="1"/>
    <col min="5132" max="5132" width="13.140625" style="526" customWidth="1"/>
    <col min="5133" max="5133" width="5.7109375" style="526" customWidth="1"/>
    <col min="5134" max="5134" width="13.28515625" style="526" bestFit="1" customWidth="1"/>
    <col min="5135" max="5135" width="13.140625" style="526" customWidth="1"/>
    <col min="5136" max="5136" width="5.7109375" style="526" customWidth="1"/>
    <col min="5137" max="5138" width="12.5703125" style="526"/>
    <col min="5139" max="5139" width="5.7109375" style="526" customWidth="1"/>
    <col min="5140" max="5141" width="12.5703125" style="526"/>
    <col min="5142" max="5142" width="5.7109375" style="526" customWidth="1"/>
    <col min="5143" max="5143" width="3.7109375" style="526" customWidth="1"/>
    <col min="5144" max="5372" width="12.5703125" style="526"/>
    <col min="5373" max="5373" width="24.42578125" style="526" customWidth="1"/>
    <col min="5374" max="5375" width="11.7109375" style="526" customWidth="1"/>
    <col min="5376" max="5376" width="13.140625" style="526" customWidth="1"/>
    <col min="5377" max="5377" width="5.7109375" style="526" customWidth="1"/>
    <col min="5378" max="5378" width="11.7109375" style="526" customWidth="1"/>
    <col min="5379" max="5379" width="13.140625" style="526" customWidth="1"/>
    <col min="5380" max="5380" width="5.7109375" style="526" customWidth="1"/>
    <col min="5381" max="5381" width="11.7109375" style="526" customWidth="1"/>
    <col min="5382" max="5382" width="13.140625" style="526" customWidth="1"/>
    <col min="5383" max="5383" width="5.7109375" style="526" customWidth="1"/>
    <col min="5384" max="5384" width="13.28515625" style="526" customWidth="1"/>
    <col min="5385" max="5385" width="13.140625" style="526" customWidth="1"/>
    <col min="5386" max="5386" width="5.7109375" style="526" customWidth="1"/>
    <col min="5387" max="5387" width="13.28515625" style="526" customWidth="1"/>
    <col min="5388" max="5388" width="13.140625" style="526" customWidth="1"/>
    <col min="5389" max="5389" width="5.7109375" style="526" customWidth="1"/>
    <col min="5390" max="5390" width="13.28515625" style="526" bestFit="1" customWidth="1"/>
    <col min="5391" max="5391" width="13.140625" style="526" customWidth="1"/>
    <col min="5392" max="5392" width="5.7109375" style="526" customWidth="1"/>
    <col min="5393" max="5394" width="12.5703125" style="526"/>
    <col min="5395" max="5395" width="5.7109375" style="526" customWidth="1"/>
    <col min="5396" max="5397" width="12.5703125" style="526"/>
    <col min="5398" max="5398" width="5.7109375" style="526" customWidth="1"/>
    <col min="5399" max="5399" width="3.7109375" style="526" customWidth="1"/>
    <col min="5400" max="5628" width="12.5703125" style="526"/>
    <col min="5629" max="5629" width="24.42578125" style="526" customWidth="1"/>
    <col min="5630" max="5631" width="11.7109375" style="526" customWidth="1"/>
    <col min="5632" max="5632" width="13.140625" style="526" customWidth="1"/>
    <col min="5633" max="5633" width="5.7109375" style="526" customWidth="1"/>
    <col min="5634" max="5634" width="11.7109375" style="526" customWidth="1"/>
    <col min="5635" max="5635" width="13.140625" style="526" customWidth="1"/>
    <col min="5636" max="5636" width="5.7109375" style="526" customWidth="1"/>
    <col min="5637" max="5637" width="11.7109375" style="526" customWidth="1"/>
    <col min="5638" max="5638" width="13.140625" style="526" customWidth="1"/>
    <col min="5639" max="5639" width="5.7109375" style="526" customWidth="1"/>
    <col min="5640" max="5640" width="13.28515625" style="526" customWidth="1"/>
    <col min="5641" max="5641" width="13.140625" style="526" customWidth="1"/>
    <col min="5642" max="5642" width="5.7109375" style="526" customWidth="1"/>
    <col min="5643" max="5643" width="13.28515625" style="526" customWidth="1"/>
    <col min="5644" max="5644" width="13.140625" style="526" customWidth="1"/>
    <col min="5645" max="5645" width="5.7109375" style="526" customWidth="1"/>
    <col min="5646" max="5646" width="13.28515625" style="526" bestFit="1" customWidth="1"/>
    <col min="5647" max="5647" width="13.140625" style="526" customWidth="1"/>
    <col min="5648" max="5648" width="5.7109375" style="526" customWidth="1"/>
    <col min="5649" max="5650" width="12.5703125" style="526"/>
    <col min="5651" max="5651" width="5.7109375" style="526" customWidth="1"/>
    <col min="5652" max="5653" width="12.5703125" style="526"/>
    <col min="5654" max="5654" width="5.7109375" style="526" customWidth="1"/>
    <col min="5655" max="5655" width="3.7109375" style="526" customWidth="1"/>
    <col min="5656" max="5884" width="12.5703125" style="526"/>
    <col min="5885" max="5885" width="24.42578125" style="526" customWidth="1"/>
    <col min="5886" max="5887" width="11.7109375" style="526" customWidth="1"/>
    <col min="5888" max="5888" width="13.140625" style="526" customWidth="1"/>
    <col min="5889" max="5889" width="5.7109375" style="526" customWidth="1"/>
    <col min="5890" max="5890" width="11.7109375" style="526" customWidth="1"/>
    <col min="5891" max="5891" width="13.140625" style="526" customWidth="1"/>
    <col min="5892" max="5892" width="5.7109375" style="526" customWidth="1"/>
    <col min="5893" max="5893" width="11.7109375" style="526" customWidth="1"/>
    <col min="5894" max="5894" width="13.140625" style="526" customWidth="1"/>
    <col min="5895" max="5895" width="5.7109375" style="526" customWidth="1"/>
    <col min="5896" max="5896" width="13.28515625" style="526" customWidth="1"/>
    <col min="5897" max="5897" width="13.140625" style="526" customWidth="1"/>
    <col min="5898" max="5898" width="5.7109375" style="526" customWidth="1"/>
    <col min="5899" max="5899" width="13.28515625" style="526" customWidth="1"/>
    <col min="5900" max="5900" width="13.140625" style="526" customWidth="1"/>
    <col min="5901" max="5901" width="5.7109375" style="526" customWidth="1"/>
    <col min="5902" max="5902" width="13.28515625" style="526" bestFit="1" customWidth="1"/>
    <col min="5903" max="5903" width="13.140625" style="526" customWidth="1"/>
    <col min="5904" max="5904" width="5.7109375" style="526" customWidth="1"/>
    <col min="5905" max="5906" width="12.5703125" style="526"/>
    <col min="5907" max="5907" width="5.7109375" style="526" customWidth="1"/>
    <col min="5908" max="5909" width="12.5703125" style="526"/>
    <col min="5910" max="5910" width="5.7109375" style="526" customWidth="1"/>
    <col min="5911" max="5911" width="3.7109375" style="526" customWidth="1"/>
    <col min="5912" max="6140" width="12.5703125" style="526"/>
    <col min="6141" max="6141" width="24.42578125" style="526" customWidth="1"/>
    <col min="6142" max="6143" width="11.7109375" style="526" customWidth="1"/>
    <col min="6144" max="6144" width="13.140625" style="526" customWidth="1"/>
    <col min="6145" max="6145" width="5.7109375" style="526" customWidth="1"/>
    <col min="6146" max="6146" width="11.7109375" style="526" customWidth="1"/>
    <col min="6147" max="6147" width="13.140625" style="526" customWidth="1"/>
    <col min="6148" max="6148" width="5.7109375" style="526" customWidth="1"/>
    <col min="6149" max="6149" width="11.7109375" style="526" customWidth="1"/>
    <col min="6150" max="6150" width="13.140625" style="526" customWidth="1"/>
    <col min="6151" max="6151" width="5.7109375" style="526" customWidth="1"/>
    <col min="6152" max="6152" width="13.28515625" style="526" customWidth="1"/>
    <col min="6153" max="6153" width="13.140625" style="526" customWidth="1"/>
    <col min="6154" max="6154" width="5.7109375" style="526" customWidth="1"/>
    <col min="6155" max="6155" width="13.28515625" style="526" customWidth="1"/>
    <col min="6156" max="6156" width="13.140625" style="526" customWidth="1"/>
    <col min="6157" max="6157" width="5.7109375" style="526" customWidth="1"/>
    <col min="6158" max="6158" width="13.28515625" style="526" bestFit="1" customWidth="1"/>
    <col min="6159" max="6159" width="13.140625" style="526" customWidth="1"/>
    <col min="6160" max="6160" width="5.7109375" style="526" customWidth="1"/>
    <col min="6161" max="6162" width="12.5703125" style="526"/>
    <col min="6163" max="6163" width="5.7109375" style="526" customWidth="1"/>
    <col min="6164" max="6165" width="12.5703125" style="526"/>
    <col min="6166" max="6166" width="5.7109375" style="526" customWidth="1"/>
    <col min="6167" max="6167" width="3.7109375" style="526" customWidth="1"/>
    <col min="6168" max="6396" width="12.5703125" style="526"/>
    <col min="6397" max="6397" width="24.42578125" style="526" customWidth="1"/>
    <col min="6398" max="6399" width="11.7109375" style="526" customWidth="1"/>
    <col min="6400" max="6400" width="13.140625" style="526" customWidth="1"/>
    <col min="6401" max="6401" width="5.7109375" style="526" customWidth="1"/>
    <col min="6402" max="6402" width="11.7109375" style="526" customWidth="1"/>
    <col min="6403" max="6403" width="13.140625" style="526" customWidth="1"/>
    <col min="6404" max="6404" width="5.7109375" style="526" customWidth="1"/>
    <col min="6405" max="6405" width="11.7109375" style="526" customWidth="1"/>
    <col min="6406" max="6406" width="13.140625" style="526" customWidth="1"/>
    <col min="6407" max="6407" width="5.7109375" style="526" customWidth="1"/>
    <col min="6408" max="6408" width="13.28515625" style="526" customWidth="1"/>
    <col min="6409" max="6409" width="13.140625" style="526" customWidth="1"/>
    <col min="6410" max="6410" width="5.7109375" style="526" customWidth="1"/>
    <col min="6411" max="6411" width="13.28515625" style="526" customWidth="1"/>
    <col min="6412" max="6412" width="13.140625" style="526" customWidth="1"/>
    <col min="6413" max="6413" width="5.7109375" style="526" customWidth="1"/>
    <col min="6414" max="6414" width="13.28515625" style="526" bestFit="1" customWidth="1"/>
    <col min="6415" max="6415" width="13.140625" style="526" customWidth="1"/>
    <col min="6416" max="6416" width="5.7109375" style="526" customWidth="1"/>
    <col min="6417" max="6418" width="12.5703125" style="526"/>
    <col min="6419" max="6419" width="5.7109375" style="526" customWidth="1"/>
    <col min="6420" max="6421" width="12.5703125" style="526"/>
    <col min="6422" max="6422" width="5.7109375" style="526" customWidth="1"/>
    <col min="6423" max="6423" width="3.7109375" style="526" customWidth="1"/>
    <col min="6424" max="6652" width="12.5703125" style="526"/>
    <col min="6653" max="6653" width="24.42578125" style="526" customWidth="1"/>
    <col min="6654" max="6655" width="11.7109375" style="526" customWidth="1"/>
    <col min="6656" max="6656" width="13.140625" style="526" customWidth="1"/>
    <col min="6657" max="6657" width="5.7109375" style="526" customWidth="1"/>
    <col min="6658" max="6658" width="11.7109375" style="526" customWidth="1"/>
    <col min="6659" max="6659" width="13.140625" style="526" customWidth="1"/>
    <col min="6660" max="6660" width="5.7109375" style="526" customWidth="1"/>
    <col min="6661" max="6661" width="11.7109375" style="526" customWidth="1"/>
    <col min="6662" max="6662" width="13.140625" style="526" customWidth="1"/>
    <col min="6663" max="6663" width="5.7109375" style="526" customWidth="1"/>
    <col min="6664" max="6664" width="13.28515625" style="526" customWidth="1"/>
    <col min="6665" max="6665" width="13.140625" style="526" customWidth="1"/>
    <col min="6666" max="6666" width="5.7109375" style="526" customWidth="1"/>
    <col min="6667" max="6667" width="13.28515625" style="526" customWidth="1"/>
    <col min="6668" max="6668" width="13.140625" style="526" customWidth="1"/>
    <col min="6669" max="6669" width="5.7109375" style="526" customWidth="1"/>
    <col min="6670" max="6670" width="13.28515625" style="526" bestFit="1" customWidth="1"/>
    <col min="6671" max="6671" width="13.140625" style="526" customWidth="1"/>
    <col min="6672" max="6672" width="5.7109375" style="526" customWidth="1"/>
    <col min="6673" max="6674" width="12.5703125" style="526"/>
    <col min="6675" max="6675" width="5.7109375" style="526" customWidth="1"/>
    <col min="6676" max="6677" width="12.5703125" style="526"/>
    <col min="6678" max="6678" width="5.7109375" style="526" customWidth="1"/>
    <col min="6679" max="6679" width="3.7109375" style="526" customWidth="1"/>
    <col min="6680" max="6908" width="12.5703125" style="526"/>
    <col min="6909" max="6909" width="24.42578125" style="526" customWidth="1"/>
    <col min="6910" max="6911" width="11.7109375" style="526" customWidth="1"/>
    <col min="6912" max="6912" width="13.140625" style="526" customWidth="1"/>
    <col min="6913" max="6913" width="5.7109375" style="526" customWidth="1"/>
    <col min="6914" max="6914" width="11.7109375" style="526" customWidth="1"/>
    <col min="6915" max="6915" width="13.140625" style="526" customWidth="1"/>
    <col min="6916" max="6916" width="5.7109375" style="526" customWidth="1"/>
    <col min="6917" max="6917" width="11.7109375" style="526" customWidth="1"/>
    <col min="6918" max="6918" width="13.140625" style="526" customWidth="1"/>
    <col min="6919" max="6919" width="5.7109375" style="526" customWidth="1"/>
    <col min="6920" max="6920" width="13.28515625" style="526" customWidth="1"/>
    <col min="6921" max="6921" width="13.140625" style="526" customWidth="1"/>
    <col min="6922" max="6922" width="5.7109375" style="526" customWidth="1"/>
    <col min="6923" max="6923" width="13.28515625" style="526" customWidth="1"/>
    <col min="6924" max="6924" width="13.140625" style="526" customWidth="1"/>
    <col min="6925" max="6925" width="5.7109375" style="526" customWidth="1"/>
    <col min="6926" max="6926" width="13.28515625" style="526" bestFit="1" customWidth="1"/>
    <col min="6927" max="6927" width="13.140625" style="526" customWidth="1"/>
    <col min="6928" max="6928" width="5.7109375" style="526" customWidth="1"/>
    <col min="6929" max="6930" width="12.5703125" style="526"/>
    <col min="6931" max="6931" width="5.7109375" style="526" customWidth="1"/>
    <col min="6932" max="6933" width="12.5703125" style="526"/>
    <col min="6934" max="6934" width="5.7109375" style="526" customWidth="1"/>
    <col min="6935" max="6935" width="3.7109375" style="526" customWidth="1"/>
    <col min="6936" max="7164" width="12.5703125" style="526"/>
    <col min="7165" max="7165" width="24.42578125" style="526" customWidth="1"/>
    <col min="7166" max="7167" width="11.7109375" style="526" customWidth="1"/>
    <col min="7168" max="7168" width="13.140625" style="526" customWidth="1"/>
    <col min="7169" max="7169" width="5.7109375" style="526" customWidth="1"/>
    <col min="7170" max="7170" width="11.7109375" style="526" customWidth="1"/>
    <col min="7171" max="7171" width="13.140625" style="526" customWidth="1"/>
    <col min="7172" max="7172" width="5.7109375" style="526" customWidth="1"/>
    <col min="7173" max="7173" width="11.7109375" style="526" customWidth="1"/>
    <col min="7174" max="7174" width="13.140625" style="526" customWidth="1"/>
    <col min="7175" max="7175" width="5.7109375" style="526" customWidth="1"/>
    <col min="7176" max="7176" width="13.28515625" style="526" customWidth="1"/>
    <col min="7177" max="7177" width="13.140625" style="526" customWidth="1"/>
    <col min="7178" max="7178" width="5.7109375" style="526" customWidth="1"/>
    <col min="7179" max="7179" width="13.28515625" style="526" customWidth="1"/>
    <col min="7180" max="7180" width="13.140625" style="526" customWidth="1"/>
    <col min="7181" max="7181" width="5.7109375" style="526" customWidth="1"/>
    <col min="7182" max="7182" width="13.28515625" style="526" bestFit="1" customWidth="1"/>
    <col min="7183" max="7183" width="13.140625" style="526" customWidth="1"/>
    <col min="7184" max="7184" width="5.7109375" style="526" customWidth="1"/>
    <col min="7185" max="7186" width="12.5703125" style="526"/>
    <col min="7187" max="7187" width="5.7109375" style="526" customWidth="1"/>
    <col min="7188" max="7189" width="12.5703125" style="526"/>
    <col min="7190" max="7190" width="5.7109375" style="526" customWidth="1"/>
    <col min="7191" max="7191" width="3.7109375" style="526" customWidth="1"/>
    <col min="7192" max="7420" width="12.5703125" style="526"/>
    <col min="7421" max="7421" width="24.42578125" style="526" customWidth="1"/>
    <col min="7422" max="7423" width="11.7109375" style="526" customWidth="1"/>
    <col min="7424" max="7424" width="13.140625" style="526" customWidth="1"/>
    <col min="7425" max="7425" width="5.7109375" style="526" customWidth="1"/>
    <col min="7426" max="7426" width="11.7109375" style="526" customWidth="1"/>
    <col min="7427" max="7427" width="13.140625" style="526" customWidth="1"/>
    <col min="7428" max="7428" width="5.7109375" style="526" customWidth="1"/>
    <col min="7429" max="7429" width="11.7109375" style="526" customWidth="1"/>
    <col min="7430" max="7430" width="13.140625" style="526" customWidth="1"/>
    <col min="7431" max="7431" width="5.7109375" style="526" customWidth="1"/>
    <col min="7432" max="7432" width="13.28515625" style="526" customWidth="1"/>
    <col min="7433" max="7433" width="13.140625" style="526" customWidth="1"/>
    <col min="7434" max="7434" width="5.7109375" style="526" customWidth="1"/>
    <col min="7435" max="7435" width="13.28515625" style="526" customWidth="1"/>
    <col min="7436" max="7436" width="13.140625" style="526" customWidth="1"/>
    <col min="7437" max="7437" width="5.7109375" style="526" customWidth="1"/>
    <col min="7438" max="7438" width="13.28515625" style="526" bestFit="1" customWidth="1"/>
    <col min="7439" max="7439" width="13.140625" style="526" customWidth="1"/>
    <col min="7440" max="7440" width="5.7109375" style="526" customWidth="1"/>
    <col min="7441" max="7442" width="12.5703125" style="526"/>
    <col min="7443" max="7443" width="5.7109375" style="526" customWidth="1"/>
    <col min="7444" max="7445" width="12.5703125" style="526"/>
    <col min="7446" max="7446" width="5.7109375" style="526" customWidth="1"/>
    <col min="7447" max="7447" width="3.7109375" style="526" customWidth="1"/>
    <col min="7448" max="7676" width="12.5703125" style="526"/>
    <col min="7677" max="7677" width="24.42578125" style="526" customWidth="1"/>
    <col min="7678" max="7679" width="11.7109375" style="526" customWidth="1"/>
    <col min="7680" max="7680" width="13.140625" style="526" customWidth="1"/>
    <col min="7681" max="7681" width="5.7109375" style="526" customWidth="1"/>
    <col min="7682" max="7682" width="11.7109375" style="526" customWidth="1"/>
    <col min="7683" max="7683" width="13.140625" style="526" customWidth="1"/>
    <col min="7684" max="7684" width="5.7109375" style="526" customWidth="1"/>
    <col min="7685" max="7685" width="11.7109375" style="526" customWidth="1"/>
    <col min="7686" max="7686" width="13.140625" style="526" customWidth="1"/>
    <col min="7687" max="7687" width="5.7109375" style="526" customWidth="1"/>
    <col min="7688" max="7688" width="13.28515625" style="526" customWidth="1"/>
    <col min="7689" max="7689" width="13.140625" style="526" customWidth="1"/>
    <col min="7690" max="7690" width="5.7109375" style="526" customWidth="1"/>
    <col min="7691" max="7691" width="13.28515625" style="526" customWidth="1"/>
    <col min="7692" max="7692" width="13.140625" style="526" customWidth="1"/>
    <col min="7693" max="7693" width="5.7109375" style="526" customWidth="1"/>
    <col min="7694" max="7694" width="13.28515625" style="526" bestFit="1" customWidth="1"/>
    <col min="7695" max="7695" width="13.140625" style="526" customWidth="1"/>
    <col min="7696" max="7696" width="5.7109375" style="526" customWidth="1"/>
    <col min="7697" max="7698" width="12.5703125" style="526"/>
    <col min="7699" max="7699" width="5.7109375" style="526" customWidth="1"/>
    <col min="7700" max="7701" width="12.5703125" style="526"/>
    <col min="7702" max="7702" width="5.7109375" style="526" customWidth="1"/>
    <col min="7703" max="7703" width="3.7109375" style="526" customWidth="1"/>
    <col min="7704" max="7932" width="12.5703125" style="526"/>
    <col min="7933" max="7933" width="24.42578125" style="526" customWidth="1"/>
    <col min="7934" max="7935" width="11.7109375" style="526" customWidth="1"/>
    <col min="7936" max="7936" width="13.140625" style="526" customWidth="1"/>
    <col min="7937" max="7937" width="5.7109375" style="526" customWidth="1"/>
    <col min="7938" max="7938" width="11.7109375" style="526" customWidth="1"/>
    <col min="7939" max="7939" width="13.140625" style="526" customWidth="1"/>
    <col min="7940" max="7940" width="5.7109375" style="526" customWidth="1"/>
    <col min="7941" max="7941" width="11.7109375" style="526" customWidth="1"/>
    <col min="7942" max="7942" width="13.140625" style="526" customWidth="1"/>
    <col min="7943" max="7943" width="5.7109375" style="526" customWidth="1"/>
    <col min="7944" max="7944" width="13.28515625" style="526" customWidth="1"/>
    <col min="7945" max="7945" width="13.140625" style="526" customWidth="1"/>
    <col min="7946" max="7946" width="5.7109375" style="526" customWidth="1"/>
    <col min="7947" max="7947" width="13.28515625" style="526" customWidth="1"/>
    <col min="7948" max="7948" width="13.140625" style="526" customWidth="1"/>
    <col min="7949" max="7949" width="5.7109375" style="526" customWidth="1"/>
    <col min="7950" max="7950" width="13.28515625" style="526" bestFit="1" customWidth="1"/>
    <col min="7951" max="7951" width="13.140625" style="526" customWidth="1"/>
    <col min="7952" max="7952" width="5.7109375" style="526" customWidth="1"/>
    <col min="7953" max="7954" width="12.5703125" style="526"/>
    <col min="7955" max="7955" width="5.7109375" style="526" customWidth="1"/>
    <col min="7956" max="7957" width="12.5703125" style="526"/>
    <col min="7958" max="7958" width="5.7109375" style="526" customWidth="1"/>
    <col min="7959" max="7959" width="3.7109375" style="526" customWidth="1"/>
    <col min="7960" max="8188" width="12.5703125" style="526"/>
    <col min="8189" max="8189" width="24.42578125" style="526" customWidth="1"/>
    <col min="8190" max="8191" width="11.7109375" style="526" customWidth="1"/>
    <col min="8192" max="8192" width="13.140625" style="526" customWidth="1"/>
    <col min="8193" max="8193" width="5.7109375" style="526" customWidth="1"/>
    <col min="8194" max="8194" width="11.7109375" style="526" customWidth="1"/>
    <col min="8195" max="8195" width="13.140625" style="526" customWidth="1"/>
    <col min="8196" max="8196" width="5.7109375" style="526" customWidth="1"/>
    <col min="8197" max="8197" width="11.7109375" style="526" customWidth="1"/>
    <col min="8198" max="8198" width="13.140625" style="526" customWidth="1"/>
    <col min="8199" max="8199" width="5.7109375" style="526" customWidth="1"/>
    <col min="8200" max="8200" width="13.28515625" style="526" customWidth="1"/>
    <col min="8201" max="8201" width="13.140625" style="526" customWidth="1"/>
    <col min="8202" max="8202" width="5.7109375" style="526" customWidth="1"/>
    <col min="8203" max="8203" width="13.28515625" style="526" customWidth="1"/>
    <col min="8204" max="8204" width="13.140625" style="526" customWidth="1"/>
    <col min="8205" max="8205" width="5.7109375" style="526" customWidth="1"/>
    <col min="8206" max="8206" width="13.28515625" style="526" bestFit="1" customWidth="1"/>
    <col min="8207" max="8207" width="13.140625" style="526" customWidth="1"/>
    <col min="8208" max="8208" width="5.7109375" style="526" customWidth="1"/>
    <col min="8209" max="8210" width="12.5703125" style="526"/>
    <col min="8211" max="8211" width="5.7109375" style="526" customWidth="1"/>
    <col min="8212" max="8213" width="12.5703125" style="526"/>
    <col min="8214" max="8214" width="5.7109375" style="526" customWidth="1"/>
    <col min="8215" max="8215" width="3.7109375" style="526" customWidth="1"/>
    <col min="8216" max="8444" width="12.5703125" style="526"/>
    <col min="8445" max="8445" width="24.42578125" style="526" customWidth="1"/>
    <col min="8446" max="8447" width="11.7109375" style="526" customWidth="1"/>
    <col min="8448" max="8448" width="13.140625" style="526" customWidth="1"/>
    <col min="8449" max="8449" width="5.7109375" style="526" customWidth="1"/>
    <col min="8450" max="8450" width="11.7109375" style="526" customWidth="1"/>
    <col min="8451" max="8451" width="13.140625" style="526" customWidth="1"/>
    <col min="8452" max="8452" width="5.7109375" style="526" customWidth="1"/>
    <col min="8453" max="8453" width="11.7109375" style="526" customWidth="1"/>
    <col min="8454" max="8454" width="13.140625" style="526" customWidth="1"/>
    <col min="8455" max="8455" width="5.7109375" style="526" customWidth="1"/>
    <col min="8456" max="8456" width="13.28515625" style="526" customWidth="1"/>
    <col min="8457" max="8457" width="13.140625" style="526" customWidth="1"/>
    <col min="8458" max="8458" width="5.7109375" style="526" customWidth="1"/>
    <col min="8459" max="8459" width="13.28515625" style="526" customWidth="1"/>
    <col min="8460" max="8460" width="13.140625" style="526" customWidth="1"/>
    <col min="8461" max="8461" width="5.7109375" style="526" customWidth="1"/>
    <col min="8462" max="8462" width="13.28515625" style="526" bestFit="1" customWidth="1"/>
    <col min="8463" max="8463" width="13.140625" style="526" customWidth="1"/>
    <col min="8464" max="8464" width="5.7109375" style="526" customWidth="1"/>
    <col min="8465" max="8466" width="12.5703125" style="526"/>
    <col min="8467" max="8467" width="5.7109375" style="526" customWidth="1"/>
    <col min="8468" max="8469" width="12.5703125" style="526"/>
    <col min="8470" max="8470" width="5.7109375" style="526" customWidth="1"/>
    <col min="8471" max="8471" width="3.7109375" style="526" customWidth="1"/>
    <col min="8472" max="8700" width="12.5703125" style="526"/>
    <col min="8701" max="8701" width="24.42578125" style="526" customWidth="1"/>
    <col min="8702" max="8703" width="11.7109375" style="526" customWidth="1"/>
    <col min="8704" max="8704" width="13.140625" style="526" customWidth="1"/>
    <col min="8705" max="8705" width="5.7109375" style="526" customWidth="1"/>
    <col min="8706" max="8706" width="11.7109375" style="526" customWidth="1"/>
    <col min="8707" max="8707" width="13.140625" style="526" customWidth="1"/>
    <col min="8708" max="8708" width="5.7109375" style="526" customWidth="1"/>
    <col min="8709" max="8709" width="11.7109375" style="526" customWidth="1"/>
    <col min="8710" max="8710" width="13.140625" style="526" customWidth="1"/>
    <col min="8711" max="8711" width="5.7109375" style="526" customWidth="1"/>
    <col min="8712" max="8712" width="13.28515625" style="526" customWidth="1"/>
    <col min="8713" max="8713" width="13.140625" style="526" customWidth="1"/>
    <col min="8714" max="8714" width="5.7109375" style="526" customWidth="1"/>
    <col min="8715" max="8715" width="13.28515625" style="526" customWidth="1"/>
    <col min="8716" max="8716" width="13.140625" style="526" customWidth="1"/>
    <col min="8717" max="8717" width="5.7109375" style="526" customWidth="1"/>
    <col min="8718" max="8718" width="13.28515625" style="526" bestFit="1" customWidth="1"/>
    <col min="8719" max="8719" width="13.140625" style="526" customWidth="1"/>
    <col min="8720" max="8720" width="5.7109375" style="526" customWidth="1"/>
    <col min="8721" max="8722" width="12.5703125" style="526"/>
    <col min="8723" max="8723" width="5.7109375" style="526" customWidth="1"/>
    <col min="8724" max="8725" width="12.5703125" style="526"/>
    <col min="8726" max="8726" width="5.7109375" style="526" customWidth="1"/>
    <col min="8727" max="8727" width="3.7109375" style="526" customWidth="1"/>
    <col min="8728" max="8956" width="12.5703125" style="526"/>
    <col min="8957" max="8957" width="24.42578125" style="526" customWidth="1"/>
    <col min="8958" max="8959" width="11.7109375" style="526" customWidth="1"/>
    <col min="8960" max="8960" width="13.140625" style="526" customWidth="1"/>
    <col min="8961" max="8961" width="5.7109375" style="526" customWidth="1"/>
    <col min="8962" max="8962" width="11.7109375" style="526" customWidth="1"/>
    <col min="8963" max="8963" width="13.140625" style="526" customWidth="1"/>
    <col min="8964" max="8964" width="5.7109375" style="526" customWidth="1"/>
    <col min="8965" max="8965" width="11.7109375" style="526" customWidth="1"/>
    <col min="8966" max="8966" width="13.140625" style="526" customWidth="1"/>
    <col min="8967" max="8967" width="5.7109375" style="526" customWidth="1"/>
    <col min="8968" max="8968" width="13.28515625" style="526" customWidth="1"/>
    <col min="8969" max="8969" width="13.140625" style="526" customWidth="1"/>
    <col min="8970" max="8970" width="5.7109375" style="526" customWidth="1"/>
    <col min="8971" max="8971" width="13.28515625" style="526" customWidth="1"/>
    <col min="8972" max="8972" width="13.140625" style="526" customWidth="1"/>
    <col min="8973" max="8973" width="5.7109375" style="526" customWidth="1"/>
    <col min="8974" max="8974" width="13.28515625" style="526" bestFit="1" customWidth="1"/>
    <col min="8975" max="8975" width="13.140625" style="526" customWidth="1"/>
    <col min="8976" max="8976" width="5.7109375" style="526" customWidth="1"/>
    <col min="8977" max="8978" width="12.5703125" style="526"/>
    <col min="8979" max="8979" width="5.7109375" style="526" customWidth="1"/>
    <col min="8980" max="8981" width="12.5703125" style="526"/>
    <col min="8982" max="8982" width="5.7109375" style="526" customWidth="1"/>
    <col min="8983" max="8983" width="3.7109375" style="526" customWidth="1"/>
    <col min="8984" max="9212" width="12.5703125" style="526"/>
    <col min="9213" max="9213" width="24.42578125" style="526" customWidth="1"/>
    <col min="9214" max="9215" width="11.7109375" style="526" customWidth="1"/>
    <col min="9216" max="9216" width="13.140625" style="526" customWidth="1"/>
    <col min="9217" max="9217" width="5.7109375" style="526" customWidth="1"/>
    <col min="9218" max="9218" width="11.7109375" style="526" customWidth="1"/>
    <col min="9219" max="9219" width="13.140625" style="526" customWidth="1"/>
    <col min="9220" max="9220" width="5.7109375" style="526" customWidth="1"/>
    <col min="9221" max="9221" width="11.7109375" style="526" customWidth="1"/>
    <col min="9222" max="9222" width="13.140625" style="526" customWidth="1"/>
    <col min="9223" max="9223" width="5.7109375" style="526" customWidth="1"/>
    <col min="9224" max="9224" width="13.28515625" style="526" customWidth="1"/>
    <col min="9225" max="9225" width="13.140625" style="526" customWidth="1"/>
    <col min="9226" max="9226" width="5.7109375" style="526" customWidth="1"/>
    <col min="9227" max="9227" width="13.28515625" style="526" customWidth="1"/>
    <col min="9228" max="9228" width="13.140625" style="526" customWidth="1"/>
    <col min="9229" max="9229" width="5.7109375" style="526" customWidth="1"/>
    <col min="9230" max="9230" width="13.28515625" style="526" bestFit="1" customWidth="1"/>
    <col min="9231" max="9231" width="13.140625" style="526" customWidth="1"/>
    <col min="9232" max="9232" width="5.7109375" style="526" customWidth="1"/>
    <col min="9233" max="9234" width="12.5703125" style="526"/>
    <col min="9235" max="9235" width="5.7109375" style="526" customWidth="1"/>
    <col min="9236" max="9237" width="12.5703125" style="526"/>
    <col min="9238" max="9238" width="5.7109375" style="526" customWidth="1"/>
    <col min="9239" max="9239" width="3.7109375" style="526" customWidth="1"/>
    <col min="9240" max="9468" width="12.5703125" style="526"/>
    <col min="9469" max="9469" width="24.42578125" style="526" customWidth="1"/>
    <col min="9470" max="9471" width="11.7109375" style="526" customWidth="1"/>
    <col min="9472" max="9472" width="13.140625" style="526" customWidth="1"/>
    <col min="9473" max="9473" width="5.7109375" style="526" customWidth="1"/>
    <col min="9474" max="9474" width="11.7109375" style="526" customWidth="1"/>
    <col min="9475" max="9475" width="13.140625" style="526" customWidth="1"/>
    <col min="9476" max="9476" width="5.7109375" style="526" customWidth="1"/>
    <col min="9477" max="9477" width="11.7109375" style="526" customWidth="1"/>
    <col min="9478" max="9478" width="13.140625" style="526" customWidth="1"/>
    <col min="9479" max="9479" width="5.7109375" style="526" customWidth="1"/>
    <col min="9480" max="9480" width="13.28515625" style="526" customWidth="1"/>
    <col min="9481" max="9481" width="13.140625" style="526" customWidth="1"/>
    <col min="9482" max="9482" width="5.7109375" style="526" customWidth="1"/>
    <col min="9483" max="9483" width="13.28515625" style="526" customWidth="1"/>
    <col min="9484" max="9484" width="13.140625" style="526" customWidth="1"/>
    <col min="9485" max="9485" width="5.7109375" style="526" customWidth="1"/>
    <col min="9486" max="9486" width="13.28515625" style="526" bestFit="1" customWidth="1"/>
    <col min="9487" max="9487" width="13.140625" style="526" customWidth="1"/>
    <col min="9488" max="9488" width="5.7109375" style="526" customWidth="1"/>
    <col min="9489" max="9490" width="12.5703125" style="526"/>
    <col min="9491" max="9491" width="5.7109375" style="526" customWidth="1"/>
    <col min="9492" max="9493" width="12.5703125" style="526"/>
    <col min="9494" max="9494" width="5.7109375" style="526" customWidth="1"/>
    <col min="9495" max="9495" width="3.7109375" style="526" customWidth="1"/>
    <col min="9496" max="9724" width="12.5703125" style="526"/>
    <col min="9725" max="9725" width="24.42578125" style="526" customWidth="1"/>
    <col min="9726" max="9727" width="11.7109375" style="526" customWidth="1"/>
    <col min="9728" max="9728" width="13.140625" style="526" customWidth="1"/>
    <col min="9729" max="9729" width="5.7109375" style="526" customWidth="1"/>
    <col min="9730" max="9730" width="11.7109375" style="526" customWidth="1"/>
    <col min="9731" max="9731" width="13.140625" style="526" customWidth="1"/>
    <col min="9732" max="9732" width="5.7109375" style="526" customWidth="1"/>
    <col min="9733" max="9733" width="11.7109375" style="526" customWidth="1"/>
    <col min="9734" max="9734" width="13.140625" style="526" customWidth="1"/>
    <col min="9735" max="9735" width="5.7109375" style="526" customWidth="1"/>
    <col min="9736" max="9736" width="13.28515625" style="526" customWidth="1"/>
    <col min="9737" max="9737" width="13.140625" style="526" customWidth="1"/>
    <col min="9738" max="9738" width="5.7109375" style="526" customWidth="1"/>
    <col min="9739" max="9739" width="13.28515625" style="526" customWidth="1"/>
    <col min="9740" max="9740" width="13.140625" style="526" customWidth="1"/>
    <col min="9741" max="9741" width="5.7109375" style="526" customWidth="1"/>
    <col min="9742" max="9742" width="13.28515625" style="526" bestFit="1" customWidth="1"/>
    <col min="9743" max="9743" width="13.140625" style="526" customWidth="1"/>
    <col min="9744" max="9744" width="5.7109375" style="526" customWidth="1"/>
    <col min="9745" max="9746" width="12.5703125" style="526"/>
    <col min="9747" max="9747" width="5.7109375" style="526" customWidth="1"/>
    <col min="9748" max="9749" width="12.5703125" style="526"/>
    <col min="9750" max="9750" width="5.7109375" style="526" customWidth="1"/>
    <col min="9751" max="9751" width="3.7109375" style="526" customWidth="1"/>
    <col min="9752" max="9980" width="12.5703125" style="526"/>
    <col min="9981" max="9981" width="24.42578125" style="526" customWidth="1"/>
    <col min="9982" max="9983" width="11.7109375" style="526" customWidth="1"/>
    <col min="9984" max="9984" width="13.140625" style="526" customWidth="1"/>
    <col min="9985" max="9985" width="5.7109375" style="526" customWidth="1"/>
    <col min="9986" max="9986" width="11.7109375" style="526" customWidth="1"/>
    <col min="9987" max="9987" width="13.140625" style="526" customWidth="1"/>
    <col min="9988" max="9988" width="5.7109375" style="526" customWidth="1"/>
    <col min="9989" max="9989" width="11.7109375" style="526" customWidth="1"/>
    <col min="9990" max="9990" width="13.140625" style="526" customWidth="1"/>
    <col min="9991" max="9991" width="5.7109375" style="526" customWidth="1"/>
    <col min="9992" max="9992" width="13.28515625" style="526" customWidth="1"/>
    <col min="9993" max="9993" width="13.140625" style="526" customWidth="1"/>
    <col min="9994" max="9994" width="5.7109375" style="526" customWidth="1"/>
    <col min="9995" max="9995" width="13.28515625" style="526" customWidth="1"/>
    <col min="9996" max="9996" width="13.140625" style="526" customWidth="1"/>
    <col min="9997" max="9997" width="5.7109375" style="526" customWidth="1"/>
    <col min="9998" max="9998" width="13.28515625" style="526" bestFit="1" customWidth="1"/>
    <col min="9999" max="9999" width="13.140625" style="526" customWidth="1"/>
    <col min="10000" max="10000" width="5.7109375" style="526" customWidth="1"/>
    <col min="10001" max="10002" width="12.5703125" style="526"/>
    <col min="10003" max="10003" width="5.7109375" style="526" customWidth="1"/>
    <col min="10004" max="10005" width="12.5703125" style="526"/>
    <col min="10006" max="10006" width="5.7109375" style="526" customWidth="1"/>
    <col min="10007" max="10007" width="3.7109375" style="526" customWidth="1"/>
    <col min="10008" max="10236" width="12.5703125" style="526"/>
    <col min="10237" max="10237" width="24.42578125" style="526" customWidth="1"/>
    <col min="10238" max="10239" width="11.7109375" style="526" customWidth="1"/>
    <col min="10240" max="10240" width="13.140625" style="526" customWidth="1"/>
    <col min="10241" max="10241" width="5.7109375" style="526" customWidth="1"/>
    <col min="10242" max="10242" width="11.7109375" style="526" customWidth="1"/>
    <col min="10243" max="10243" width="13.140625" style="526" customWidth="1"/>
    <col min="10244" max="10244" width="5.7109375" style="526" customWidth="1"/>
    <col min="10245" max="10245" width="11.7109375" style="526" customWidth="1"/>
    <col min="10246" max="10246" width="13.140625" style="526" customWidth="1"/>
    <col min="10247" max="10247" width="5.7109375" style="526" customWidth="1"/>
    <col min="10248" max="10248" width="13.28515625" style="526" customWidth="1"/>
    <col min="10249" max="10249" width="13.140625" style="526" customWidth="1"/>
    <col min="10250" max="10250" width="5.7109375" style="526" customWidth="1"/>
    <col min="10251" max="10251" width="13.28515625" style="526" customWidth="1"/>
    <col min="10252" max="10252" width="13.140625" style="526" customWidth="1"/>
    <col min="10253" max="10253" width="5.7109375" style="526" customWidth="1"/>
    <col min="10254" max="10254" width="13.28515625" style="526" bestFit="1" customWidth="1"/>
    <col min="10255" max="10255" width="13.140625" style="526" customWidth="1"/>
    <col min="10256" max="10256" width="5.7109375" style="526" customWidth="1"/>
    <col min="10257" max="10258" width="12.5703125" style="526"/>
    <col min="10259" max="10259" width="5.7109375" style="526" customWidth="1"/>
    <col min="10260" max="10261" width="12.5703125" style="526"/>
    <col min="10262" max="10262" width="5.7109375" style="526" customWidth="1"/>
    <col min="10263" max="10263" width="3.7109375" style="526" customWidth="1"/>
    <col min="10264" max="10492" width="12.5703125" style="526"/>
    <col min="10493" max="10493" width="24.42578125" style="526" customWidth="1"/>
    <col min="10494" max="10495" width="11.7109375" style="526" customWidth="1"/>
    <col min="10496" max="10496" width="13.140625" style="526" customWidth="1"/>
    <col min="10497" max="10497" width="5.7109375" style="526" customWidth="1"/>
    <col min="10498" max="10498" width="11.7109375" style="526" customWidth="1"/>
    <col min="10499" max="10499" width="13.140625" style="526" customWidth="1"/>
    <col min="10500" max="10500" width="5.7109375" style="526" customWidth="1"/>
    <col min="10501" max="10501" width="11.7109375" style="526" customWidth="1"/>
    <col min="10502" max="10502" width="13.140625" style="526" customWidth="1"/>
    <col min="10503" max="10503" width="5.7109375" style="526" customWidth="1"/>
    <col min="10504" max="10504" width="13.28515625" style="526" customWidth="1"/>
    <col min="10505" max="10505" width="13.140625" style="526" customWidth="1"/>
    <col min="10506" max="10506" width="5.7109375" style="526" customWidth="1"/>
    <col min="10507" max="10507" width="13.28515625" style="526" customWidth="1"/>
    <col min="10508" max="10508" width="13.140625" style="526" customWidth="1"/>
    <col min="10509" max="10509" width="5.7109375" style="526" customWidth="1"/>
    <col min="10510" max="10510" width="13.28515625" style="526" bestFit="1" customWidth="1"/>
    <col min="10511" max="10511" width="13.140625" style="526" customWidth="1"/>
    <col min="10512" max="10512" width="5.7109375" style="526" customWidth="1"/>
    <col min="10513" max="10514" width="12.5703125" style="526"/>
    <col min="10515" max="10515" width="5.7109375" style="526" customWidth="1"/>
    <col min="10516" max="10517" width="12.5703125" style="526"/>
    <col min="10518" max="10518" width="5.7109375" style="526" customWidth="1"/>
    <col min="10519" max="10519" width="3.7109375" style="526" customWidth="1"/>
    <col min="10520" max="10748" width="12.5703125" style="526"/>
    <col min="10749" max="10749" width="24.42578125" style="526" customWidth="1"/>
    <col min="10750" max="10751" width="11.7109375" style="526" customWidth="1"/>
    <col min="10752" max="10752" width="13.140625" style="526" customWidth="1"/>
    <col min="10753" max="10753" width="5.7109375" style="526" customWidth="1"/>
    <col min="10754" max="10754" width="11.7109375" style="526" customWidth="1"/>
    <col min="10755" max="10755" width="13.140625" style="526" customWidth="1"/>
    <col min="10756" max="10756" width="5.7109375" style="526" customWidth="1"/>
    <col min="10757" max="10757" width="11.7109375" style="526" customWidth="1"/>
    <col min="10758" max="10758" width="13.140625" style="526" customWidth="1"/>
    <col min="10759" max="10759" width="5.7109375" style="526" customWidth="1"/>
    <col min="10760" max="10760" width="13.28515625" style="526" customWidth="1"/>
    <col min="10761" max="10761" width="13.140625" style="526" customWidth="1"/>
    <col min="10762" max="10762" width="5.7109375" style="526" customWidth="1"/>
    <col min="10763" max="10763" width="13.28515625" style="526" customWidth="1"/>
    <col min="10764" max="10764" width="13.140625" style="526" customWidth="1"/>
    <col min="10765" max="10765" width="5.7109375" style="526" customWidth="1"/>
    <col min="10766" max="10766" width="13.28515625" style="526" bestFit="1" customWidth="1"/>
    <col min="10767" max="10767" width="13.140625" style="526" customWidth="1"/>
    <col min="10768" max="10768" width="5.7109375" style="526" customWidth="1"/>
    <col min="10769" max="10770" width="12.5703125" style="526"/>
    <col min="10771" max="10771" width="5.7109375" style="526" customWidth="1"/>
    <col min="10772" max="10773" width="12.5703125" style="526"/>
    <col min="10774" max="10774" width="5.7109375" style="526" customWidth="1"/>
    <col min="10775" max="10775" width="3.7109375" style="526" customWidth="1"/>
    <col min="10776" max="11004" width="12.5703125" style="526"/>
    <col min="11005" max="11005" width="24.42578125" style="526" customWidth="1"/>
    <col min="11006" max="11007" width="11.7109375" style="526" customWidth="1"/>
    <col min="11008" max="11008" width="13.140625" style="526" customWidth="1"/>
    <col min="11009" max="11009" width="5.7109375" style="526" customWidth="1"/>
    <col min="11010" max="11010" width="11.7109375" style="526" customWidth="1"/>
    <col min="11011" max="11011" width="13.140625" style="526" customWidth="1"/>
    <col min="11012" max="11012" width="5.7109375" style="526" customWidth="1"/>
    <col min="11013" max="11013" width="11.7109375" style="526" customWidth="1"/>
    <col min="11014" max="11014" width="13.140625" style="526" customWidth="1"/>
    <col min="11015" max="11015" width="5.7109375" style="526" customWidth="1"/>
    <col min="11016" max="11016" width="13.28515625" style="526" customWidth="1"/>
    <col min="11017" max="11017" width="13.140625" style="526" customWidth="1"/>
    <col min="11018" max="11018" width="5.7109375" style="526" customWidth="1"/>
    <col min="11019" max="11019" width="13.28515625" style="526" customWidth="1"/>
    <col min="11020" max="11020" width="13.140625" style="526" customWidth="1"/>
    <col min="11021" max="11021" width="5.7109375" style="526" customWidth="1"/>
    <col min="11022" max="11022" width="13.28515625" style="526" bestFit="1" customWidth="1"/>
    <col min="11023" max="11023" width="13.140625" style="526" customWidth="1"/>
    <col min="11024" max="11024" width="5.7109375" style="526" customWidth="1"/>
    <col min="11025" max="11026" width="12.5703125" style="526"/>
    <col min="11027" max="11027" width="5.7109375" style="526" customWidth="1"/>
    <col min="11028" max="11029" width="12.5703125" style="526"/>
    <col min="11030" max="11030" width="5.7109375" style="526" customWidth="1"/>
    <col min="11031" max="11031" width="3.7109375" style="526" customWidth="1"/>
    <col min="11032" max="11260" width="12.5703125" style="526"/>
    <col min="11261" max="11261" width="24.42578125" style="526" customWidth="1"/>
    <col min="11262" max="11263" width="11.7109375" style="526" customWidth="1"/>
    <col min="11264" max="11264" width="13.140625" style="526" customWidth="1"/>
    <col min="11265" max="11265" width="5.7109375" style="526" customWidth="1"/>
    <col min="11266" max="11266" width="11.7109375" style="526" customWidth="1"/>
    <col min="11267" max="11267" width="13.140625" style="526" customWidth="1"/>
    <col min="11268" max="11268" width="5.7109375" style="526" customWidth="1"/>
    <col min="11269" max="11269" width="11.7109375" style="526" customWidth="1"/>
    <col min="11270" max="11270" width="13.140625" style="526" customWidth="1"/>
    <col min="11271" max="11271" width="5.7109375" style="526" customWidth="1"/>
    <col min="11272" max="11272" width="13.28515625" style="526" customWidth="1"/>
    <col min="11273" max="11273" width="13.140625" style="526" customWidth="1"/>
    <col min="11274" max="11274" width="5.7109375" style="526" customWidth="1"/>
    <col min="11275" max="11275" width="13.28515625" style="526" customWidth="1"/>
    <col min="11276" max="11276" width="13.140625" style="526" customWidth="1"/>
    <col min="11277" max="11277" width="5.7109375" style="526" customWidth="1"/>
    <col min="11278" max="11278" width="13.28515625" style="526" bestFit="1" customWidth="1"/>
    <col min="11279" max="11279" width="13.140625" style="526" customWidth="1"/>
    <col min="11280" max="11280" width="5.7109375" style="526" customWidth="1"/>
    <col min="11281" max="11282" width="12.5703125" style="526"/>
    <col min="11283" max="11283" width="5.7109375" style="526" customWidth="1"/>
    <col min="11284" max="11285" width="12.5703125" style="526"/>
    <col min="11286" max="11286" width="5.7109375" style="526" customWidth="1"/>
    <col min="11287" max="11287" width="3.7109375" style="526" customWidth="1"/>
    <col min="11288" max="11516" width="12.5703125" style="526"/>
    <col min="11517" max="11517" width="24.42578125" style="526" customWidth="1"/>
    <col min="11518" max="11519" width="11.7109375" style="526" customWidth="1"/>
    <col min="11520" max="11520" width="13.140625" style="526" customWidth="1"/>
    <col min="11521" max="11521" width="5.7109375" style="526" customWidth="1"/>
    <col min="11522" max="11522" width="11.7109375" style="526" customWidth="1"/>
    <col min="11523" max="11523" width="13.140625" style="526" customWidth="1"/>
    <col min="11524" max="11524" width="5.7109375" style="526" customWidth="1"/>
    <col min="11525" max="11525" width="11.7109375" style="526" customWidth="1"/>
    <col min="11526" max="11526" width="13.140625" style="526" customWidth="1"/>
    <col min="11527" max="11527" width="5.7109375" style="526" customWidth="1"/>
    <col min="11528" max="11528" width="13.28515625" style="526" customWidth="1"/>
    <col min="11529" max="11529" width="13.140625" style="526" customWidth="1"/>
    <col min="11530" max="11530" width="5.7109375" style="526" customWidth="1"/>
    <col min="11531" max="11531" width="13.28515625" style="526" customWidth="1"/>
    <col min="11532" max="11532" width="13.140625" style="526" customWidth="1"/>
    <col min="11533" max="11533" width="5.7109375" style="526" customWidth="1"/>
    <col min="11534" max="11534" width="13.28515625" style="526" bestFit="1" customWidth="1"/>
    <col min="11535" max="11535" width="13.140625" style="526" customWidth="1"/>
    <col min="11536" max="11536" width="5.7109375" style="526" customWidth="1"/>
    <col min="11537" max="11538" width="12.5703125" style="526"/>
    <col min="11539" max="11539" width="5.7109375" style="526" customWidth="1"/>
    <col min="11540" max="11541" width="12.5703125" style="526"/>
    <col min="11542" max="11542" width="5.7109375" style="526" customWidth="1"/>
    <col min="11543" max="11543" width="3.7109375" style="526" customWidth="1"/>
    <col min="11544" max="11772" width="12.5703125" style="526"/>
    <col min="11773" max="11773" width="24.42578125" style="526" customWidth="1"/>
    <col min="11774" max="11775" width="11.7109375" style="526" customWidth="1"/>
    <col min="11776" max="11776" width="13.140625" style="526" customWidth="1"/>
    <col min="11777" max="11777" width="5.7109375" style="526" customWidth="1"/>
    <col min="11778" max="11778" width="11.7109375" style="526" customWidth="1"/>
    <col min="11779" max="11779" width="13.140625" style="526" customWidth="1"/>
    <col min="11780" max="11780" width="5.7109375" style="526" customWidth="1"/>
    <col min="11781" max="11781" width="11.7109375" style="526" customWidth="1"/>
    <col min="11782" max="11782" width="13.140625" style="526" customWidth="1"/>
    <col min="11783" max="11783" width="5.7109375" style="526" customWidth="1"/>
    <col min="11784" max="11784" width="13.28515625" style="526" customWidth="1"/>
    <col min="11785" max="11785" width="13.140625" style="526" customWidth="1"/>
    <col min="11786" max="11786" width="5.7109375" style="526" customWidth="1"/>
    <col min="11787" max="11787" width="13.28515625" style="526" customWidth="1"/>
    <col min="11788" max="11788" width="13.140625" style="526" customWidth="1"/>
    <col min="11789" max="11789" width="5.7109375" style="526" customWidth="1"/>
    <col min="11790" max="11790" width="13.28515625" style="526" bestFit="1" customWidth="1"/>
    <col min="11791" max="11791" width="13.140625" style="526" customWidth="1"/>
    <col min="11792" max="11792" width="5.7109375" style="526" customWidth="1"/>
    <col min="11793" max="11794" width="12.5703125" style="526"/>
    <col min="11795" max="11795" width="5.7109375" style="526" customWidth="1"/>
    <col min="11796" max="11797" width="12.5703125" style="526"/>
    <col min="11798" max="11798" width="5.7109375" style="526" customWidth="1"/>
    <col min="11799" max="11799" width="3.7109375" style="526" customWidth="1"/>
    <col min="11800" max="12028" width="12.5703125" style="526"/>
    <col min="12029" max="12029" width="24.42578125" style="526" customWidth="1"/>
    <col min="12030" max="12031" width="11.7109375" style="526" customWidth="1"/>
    <col min="12032" max="12032" width="13.140625" style="526" customWidth="1"/>
    <col min="12033" max="12033" width="5.7109375" style="526" customWidth="1"/>
    <col min="12034" max="12034" width="11.7109375" style="526" customWidth="1"/>
    <col min="12035" max="12035" width="13.140625" style="526" customWidth="1"/>
    <col min="12036" max="12036" width="5.7109375" style="526" customWidth="1"/>
    <col min="12037" max="12037" width="11.7109375" style="526" customWidth="1"/>
    <col min="12038" max="12038" width="13.140625" style="526" customWidth="1"/>
    <col min="12039" max="12039" width="5.7109375" style="526" customWidth="1"/>
    <col min="12040" max="12040" width="13.28515625" style="526" customWidth="1"/>
    <col min="12041" max="12041" width="13.140625" style="526" customWidth="1"/>
    <col min="12042" max="12042" width="5.7109375" style="526" customWidth="1"/>
    <col min="12043" max="12043" width="13.28515625" style="526" customWidth="1"/>
    <col min="12044" max="12044" width="13.140625" style="526" customWidth="1"/>
    <col min="12045" max="12045" width="5.7109375" style="526" customWidth="1"/>
    <col min="12046" max="12046" width="13.28515625" style="526" bestFit="1" customWidth="1"/>
    <col min="12047" max="12047" width="13.140625" style="526" customWidth="1"/>
    <col min="12048" max="12048" width="5.7109375" style="526" customWidth="1"/>
    <col min="12049" max="12050" width="12.5703125" style="526"/>
    <col min="12051" max="12051" width="5.7109375" style="526" customWidth="1"/>
    <col min="12052" max="12053" width="12.5703125" style="526"/>
    <col min="12054" max="12054" width="5.7109375" style="526" customWidth="1"/>
    <col min="12055" max="12055" width="3.7109375" style="526" customWidth="1"/>
    <col min="12056" max="12284" width="12.5703125" style="526"/>
    <col min="12285" max="12285" width="24.42578125" style="526" customWidth="1"/>
    <col min="12286" max="12287" width="11.7109375" style="526" customWidth="1"/>
    <col min="12288" max="12288" width="13.140625" style="526" customWidth="1"/>
    <col min="12289" max="12289" width="5.7109375" style="526" customWidth="1"/>
    <col min="12290" max="12290" width="11.7109375" style="526" customWidth="1"/>
    <col min="12291" max="12291" width="13.140625" style="526" customWidth="1"/>
    <col min="12292" max="12292" width="5.7109375" style="526" customWidth="1"/>
    <col min="12293" max="12293" width="11.7109375" style="526" customWidth="1"/>
    <col min="12294" max="12294" width="13.140625" style="526" customWidth="1"/>
    <col min="12295" max="12295" width="5.7109375" style="526" customWidth="1"/>
    <col min="12296" max="12296" width="13.28515625" style="526" customWidth="1"/>
    <col min="12297" max="12297" width="13.140625" style="526" customWidth="1"/>
    <col min="12298" max="12298" width="5.7109375" style="526" customWidth="1"/>
    <col min="12299" max="12299" width="13.28515625" style="526" customWidth="1"/>
    <col min="12300" max="12300" width="13.140625" style="526" customWidth="1"/>
    <col min="12301" max="12301" width="5.7109375" style="526" customWidth="1"/>
    <col min="12302" max="12302" width="13.28515625" style="526" bestFit="1" customWidth="1"/>
    <col min="12303" max="12303" width="13.140625" style="526" customWidth="1"/>
    <col min="12304" max="12304" width="5.7109375" style="526" customWidth="1"/>
    <col min="12305" max="12306" width="12.5703125" style="526"/>
    <col min="12307" max="12307" width="5.7109375" style="526" customWidth="1"/>
    <col min="12308" max="12309" width="12.5703125" style="526"/>
    <col min="12310" max="12310" width="5.7109375" style="526" customWidth="1"/>
    <col min="12311" max="12311" width="3.7109375" style="526" customWidth="1"/>
    <col min="12312" max="12540" width="12.5703125" style="526"/>
    <col min="12541" max="12541" width="24.42578125" style="526" customWidth="1"/>
    <col min="12542" max="12543" width="11.7109375" style="526" customWidth="1"/>
    <col min="12544" max="12544" width="13.140625" style="526" customWidth="1"/>
    <col min="12545" max="12545" width="5.7109375" style="526" customWidth="1"/>
    <col min="12546" max="12546" width="11.7109375" style="526" customWidth="1"/>
    <col min="12547" max="12547" width="13.140625" style="526" customWidth="1"/>
    <col min="12548" max="12548" width="5.7109375" style="526" customWidth="1"/>
    <col min="12549" max="12549" width="11.7109375" style="526" customWidth="1"/>
    <col min="12550" max="12550" width="13.140625" style="526" customWidth="1"/>
    <col min="12551" max="12551" width="5.7109375" style="526" customWidth="1"/>
    <col min="12552" max="12552" width="13.28515625" style="526" customWidth="1"/>
    <col min="12553" max="12553" width="13.140625" style="526" customWidth="1"/>
    <col min="12554" max="12554" width="5.7109375" style="526" customWidth="1"/>
    <col min="12555" max="12555" width="13.28515625" style="526" customWidth="1"/>
    <col min="12556" max="12556" width="13.140625" style="526" customWidth="1"/>
    <col min="12557" max="12557" width="5.7109375" style="526" customWidth="1"/>
    <col min="12558" max="12558" width="13.28515625" style="526" bestFit="1" customWidth="1"/>
    <col min="12559" max="12559" width="13.140625" style="526" customWidth="1"/>
    <col min="12560" max="12560" width="5.7109375" style="526" customWidth="1"/>
    <col min="12561" max="12562" width="12.5703125" style="526"/>
    <col min="12563" max="12563" width="5.7109375" style="526" customWidth="1"/>
    <col min="12564" max="12565" width="12.5703125" style="526"/>
    <col min="12566" max="12566" width="5.7109375" style="526" customWidth="1"/>
    <col min="12567" max="12567" width="3.7109375" style="526" customWidth="1"/>
    <col min="12568" max="12796" width="12.5703125" style="526"/>
    <col min="12797" max="12797" width="24.42578125" style="526" customWidth="1"/>
    <col min="12798" max="12799" width="11.7109375" style="526" customWidth="1"/>
    <col min="12800" max="12800" width="13.140625" style="526" customWidth="1"/>
    <col min="12801" max="12801" width="5.7109375" style="526" customWidth="1"/>
    <col min="12802" max="12802" width="11.7109375" style="526" customWidth="1"/>
    <col min="12803" max="12803" width="13.140625" style="526" customWidth="1"/>
    <col min="12804" max="12804" width="5.7109375" style="526" customWidth="1"/>
    <col min="12805" max="12805" width="11.7109375" style="526" customWidth="1"/>
    <col min="12806" max="12806" width="13.140625" style="526" customWidth="1"/>
    <col min="12807" max="12807" width="5.7109375" style="526" customWidth="1"/>
    <col min="12808" max="12808" width="13.28515625" style="526" customWidth="1"/>
    <col min="12809" max="12809" width="13.140625" style="526" customWidth="1"/>
    <col min="12810" max="12810" width="5.7109375" style="526" customWidth="1"/>
    <col min="12811" max="12811" width="13.28515625" style="526" customWidth="1"/>
    <col min="12812" max="12812" width="13.140625" style="526" customWidth="1"/>
    <col min="12813" max="12813" width="5.7109375" style="526" customWidth="1"/>
    <col min="12814" max="12814" width="13.28515625" style="526" bestFit="1" customWidth="1"/>
    <col min="12815" max="12815" width="13.140625" style="526" customWidth="1"/>
    <col min="12816" max="12816" width="5.7109375" style="526" customWidth="1"/>
    <col min="12817" max="12818" width="12.5703125" style="526"/>
    <col min="12819" max="12819" width="5.7109375" style="526" customWidth="1"/>
    <col min="12820" max="12821" width="12.5703125" style="526"/>
    <col min="12822" max="12822" width="5.7109375" style="526" customWidth="1"/>
    <col min="12823" max="12823" width="3.7109375" style="526" customWidth="1"/>
    <col min="12824" max="13052" width="12.5703125" style="526"/>
    <col min="13053" max="13053" width="24.42578125" style="526" customWidth="1"/>
    <col min="13054" max="13055" width="11.7109375" style="526" customWidth="1"/>
    <col min="13056" max="13056" width="13.140625" style="526" customWidth="1"/>
    <col min="13057" max="13057" width="5.7109375" style="526" customWidth="1"/>
    <col min="13058" max="13058" width="11.7109375" style="526" customWidth="1"/>
    <col min="13059" max="13059" width="13.140625" style="526" customWidth="1"/>
    <col min="13060" max="13060" width="5.7109375" style="526" customWidth="1"/>
    <col min="13061" max="13061" width="11.7109375" style="526" customWidth="1"/>
    <col min="13062" max="13062" width="13.140625" style="526" customWidth="1"/>
    <col min="13063" max="13063" width="5.7109375" style="526" customWidth="1"/>
    <col min="13064" max="13064" width="13.28515625" style="526" customWidth="1"/>
    <col min="13065" max="13065" width="13.140625" style="526" customWidth="1"/>
    <col min="13066" max="13066" width="5.7109375" style="526" customWidth="1"/>
    <col min="13067" max="13067" width="13.28515625" style="526" customWidth="1"/>
    <col min="13068" max="13068" width="13.140625" style="526" customWidth="1"/>
    <col min="13069" max="13069" width="5.7109375" style="526" customWidth="1"/>
    <col min="13070" max="13070" width="13.28515625" style="526" bestFit="1" customWidth="1"/>
    <col min="13071" max="13071" width="13.140625" style="526" customWidth="1"/>
    <col min="13072" max="13072" width="5.7109375" style="526" customWidth="1"/>
    <col min="13073" max="13074" width="12.5703125" style="526"/>
    <col min="13075" max="13075" width="5.7109375" style="526" customWidth="1"/>
    <col min="13076" max="13077" width="12.5703125" style="526"/>
    <col min="13078" max="13078" width="5.7109375" style="526" customWidth="1"/>
    <col min="13079" max="13079" width="3.7109375" style="526" customWidth="1"/>
    <col min="13080" max="13308" width="12.5703125" style="526"/>
    <col min="13309" max="13309" width="24.42578125" style="526" customWidth="1"/>
    <col min="13310" max="13311" width="11.7109375" style="526" customWidth="1"/>
    <col min="13312" max="13312" width="13.140625" style="526" customWidth="1"/>
    <col min="13313" max="13313" width="5.7109375" style="526" customWidth="1"/>
    <col min="13314" max="13314" width="11.7109375" style="526" customWidth="1"/>
    <col min="13315" max="13315" width="13.140625" style="526" customWidth="1"/>
    <col min="13316" max="13316" width="5.7109375" style="526" customWidth="1"/>
    <col min="13317" max="13317" width="11.7109375" style="526" customWidth="1"/>
    <col min="13318" max="13318" width="13.140625" style="526" customWidth="1"/>
    <col min="13319" max="13319" width="5.7109375" style="526" customWidth="1"/>
    <col min="13320" max="13320" width="13.28515625" style="526" customWidth="1"/>
    <col min="13321" max="13321" width="13.140625" style="526" customWidth="1"/>
    <col min="13322" max="13322" width="5.7109375" style="526" customWidth="1"/>
    <col min="13323" max="13323" width="13.28515625" style="526" customWidth="1"/>
    <col min="13324" max="13324" width="13.140625" style="526" customWidth="1"/>
    <col min="13325" max="13325" width="5.7109375" style="526" customWidth="1"/>
    <col min="13326" max="13326" width="13.28515625" style="526" bestFit="1" customWidth="1"/>
    <col min="13327" max="13327" width="13.140625" style="526" customWidth="1"/>
    <col min="13328" max="13328" width="5.7109375" style="526" customWidth="1"/>
    <col min="13329" max="13330" width="12.5703125" style="526"/>
    <col min="13331" max="13331" width="5.7109375" style="526" customWidth="1"/>
    <col min="13332" max="13333" width="12.5703125" style="526"/>
    <col min="13334" max="13334" width="5.7109375" style="526" customWidth="1"/>
    <col min="13335" max="13335" width="3.7109375" style="526" customWidth="1"/>
    <col min="13336" max="13564" width="12.5703125" style="526"/>
    <col min="13565" max="13565" width="24.42578125" style="526" customWidth="1"/>
    <col min="13566" max="13567" width="11.7109375" style="526" customWidth="1"/>
    <col min="13568" max="13568" width="13.140625" style="526" customWidth="1"/>
    <col min="13569" max="13569" width="5.7109375" style="526" customWidth="1"/>
    <col min="13570" max="13570" width="11.7109375" style="526" customWidth="1"/>
    <col min="13571" max="13571" width="13.140625" style="526" customWidth="1"/>
    <col min="13572" max="13572" width="5.7109375" style="526" customWidth="1"/>
    <col min="13573" max="13573" width="11.7109375" style="526" customWidth="1"/>
    <col min="13574" max="13574" width="13.140625" style="526" customWidth="1"/>
    <col min="13575" max="13575" width="5.7109375" style="526" customWidth="1"/>
    <col min="13576" max="13576" width="13.28515625" style="526" customWidth="1"/>
    <col min="13577" max="13577" width="13.140625" style="526" customWidth="1"/>
    <col min="13578" max="13578" width="5.7109375" style="526" customWidth="1"/>
    <col min="13579" max="13579" width="13.28515625" style="526" customWidth="1"/>
    <col min="13580" max="13580" width="13.140625" style="526" customWidth="1"/>
    <col min="13581" max="13581" width="5.7109375" style="526" customWidth="1"/>
    <col min="13582" max="13582" width="13.28515625" style="526" bestFit="1" customWidth="1"/>
    <col min="13583" max="13583" width="13.140625" style="526" customWidth="1"/>
    <col min="13584" max="13584" width="5.7109375" style="526" customWidth="1"/>
    <col min="13585" max="13586" width="12.5703125" style="526"/>
    <col min="13587" max="13587" width="5.7109375" style="526" customWidth="1"/>
    <col min="13588" max="13589" width="12.5703125" style="526"/>
    <col min="13590" max="13590" width="5.7109375" style="526" customWidth="1"/>
    <col min="13591" max="13591" width="3.7109375" style="526" customWidth="1"/>
    <col min="13592" max="13820" width="12.5703125" style="526"/>
    <col min="13821" max="13821" width="24.42578125" style="526" customWidth="1"/>
    <col min="13822" max="13823" width="11.7109375" style="526" customWidth="1"/>
    <col min="13824" max="13824" width="13.140625" style="526" customWidth="1"/>
    <col min="13825" max="13825" width="5.7109375" style="526" customWidth="1"/>
    <col min="13826" max="13826" width="11.7109375" style="526" customWidth="1"/>
    <col min="13827" max="13827" width="13.140625" style="526" customWidth="1"/>
    <col min="13828" max="13828" width="5.7109375" style="526" customWidth="1"/>
    <col min="13829" max="13829" width="11.7109375" style="526" customWidth="1"/>
    <col min="13830" max="13830" width="13.140625" style="526" customWidth="1"/>
    <col min="13831" max="13831" width="5.7109375" style="526" customWidth="1"/>
    <col min="13832" max="13832" width="13.28515625" style="526" customWidth="1"/>
    <col min="13833" max="13833" width="13.140625" style="526" customWidth="1"/>
    <col min="13834" max="13834" width="5.7109375" style="526" customWidth="1"/>
    <col min="13835" max="13835" width="13.28515625" style="526" customWidth="1"/>
    <col min="13836" max="13836" width="13.140625" style="526" customWidth="1"/>
    <col min="13837" max="13837" width="5.7109375" style="526" customWidth="1"/>
    <col min="13838" max="13838" width="13.28515625" style="526" bestFit="1" customWidth="1"/>
    <col min="13839" max="13839" width="13.140625" style="526" customWidth="1"/>
    <col min="13840" max="13840" width="5.7109375" style="526" customWidth="1"/>
    <col min="13841" max="13842" width="12.5703125" style="526"/>
    <col min="13843" max="13843" width="5.7109375" style="526" customWidth="1"/>
    <col min="13844" max="13845" width="12.5703125" style="526"/>
    <col min="13846" max="13846" width="5.7109375" style="526" customWidth="1"/>
    <col min="13847" max="13847" width="3.7109375" style="526" customWidth="1"/>
    <col min="13848" max="14076" width="12.5703125" style="526"/>
    <col min="14077" max="14077" width="24.42578125" style="526" customWidth="1"/>
    <col min="14078" max="14079" width="11.7109375" style="526" customWidth="1"/>
    <col min="14080" max="14080" width="13.140625" style="526" customWidth="1"/>
    <col min="14081" max="14081" width="5.7109375" style="526" customWidth="1"/>
    <col min="14082" max="14082" width="11.7109375" style="526" customWidth="1"/>
    <col min="14083" max="14083" width="13.140625" style="526" customWidth="1"/>
    <col min="14084" max="14084" width="5.7109375" style="526" customWidth="1"/>
    <col min="14085" max="14085" width="11.7109375" style="526" customWidth="1"/>
    <col min="14086" max="14086" width="13.140625" style="526" customWidth="1"/>
    <col min="14087" max="14087" width="5.7109375" style="526" customWidth="1"/>
    <col min="14088" max="14088" width="13.28515625" style="526" customWidth="1"/>
    <col min="14089" max="14089" width="13.140625" style="526" customWidth="1"/>
    <col min="14090" max="14090" width="5.7109375" style="526" customWidth="1"/>
    <col min="14091" max="14091" width="13.28515625" style="526" customWidth="1"/>
    <col min="14092" max="14092" width="13.140625" style="526" customWidth="1"/>
    <col min="14093" max="14093" width="5.7109375" style="526" customWidth="1"/>
    <col min="14094" max="14094" width="13.28515625" style="526" bestFit="1" customWidth="1"/>
    <col min="14095" max="14095" width="13.140625" style="526" customWidth="1"/>
    <col min="14096" max="14096" width="5.7109375" style="526" customWidth="1"/>
    <col min="14097" max="14098" width="12.5703125" style="526"/>
    <col min="14099" max="14099" width="5.7109375" style="526" customWidth="1"/>
    <col min="14100" max="14101" width="12.5703125" style="526"/>
    <col min="14102" max="14102" width="5.7109375" style="526" customWidth="1"/>
    <col min="14103" max="14103" width="3.7109375" style="526" customWidth="1"/>
    <col min="14104" max="14332" width="12.5703125" style="526"/>
    <col min="14333" max="14333" width="24.42578125" style="526" customWidth="1"/>
    <col min="14334" max="14335" width="11.7109375" style="526" customWidth="1"/>
    <col min="14336" max="14336" width="13.140625" style="526" customWidth="1"/>
    <col min="14337" max="14337" width="5.7109375" style="526" customWidth="1"/>
    <col min="14338" max="14338" width="11.7109375" style="526" customWidth="1"/>
    <col min="14339" max="14339" width="13.140625" style="526" customWidth="1"/>
    <col min="14340" max="14340" width="5.7109375" style="526" customWidth="1"/>
    <col min="14341" max="14341" width="11.7109375" style="526" customWidth="1"/>
    <col min="14342" max="14342" width="13.140625" style="526" customWidth="1"/>
    <col min="14343" max="14343" width="5.7109375" style="526" customWidth="1"/>
    <col min="14344" max="14344" width="13.28515625" style="526" customWidth="1"/>
    <col min="14345" max="14345" width="13.140625" style="526" customWidth="1"/>
    <col min="14346" max="14346" width="5.7109375" style="526" customWidth="1"/>
    <col min="14347" max="14347" width="13.28515625" style="526" customWidth="1"/>
    <col min="14348" max="14348" width="13.140625" style="526" customWidth="1"/>
    <col min="14349" max="14349" width="5.7109375" style="526" customWidth="1"/>
    <col min="14350" max="14350" width="13.28515625" style="526" bestFit="1" customWidth="1"/>
    <col min="14351" max="14351" width="13.140625" style="526" customWidth="1"/>
    <col min="14352" max="14352" width="5.7109375" style="526" customWidth="1"/>
    <col min="14353" max="14354" width="12.5703125" style="526"/>
    <col min="14355" max="14355" width="5.7109375" style="526" customWidth="1"/>
    <col min="14356" max="14357" width="12.5703125" style="526"/>
    <col min="14358" max="14358" width="5.7109375" style="526" customWidth="1"/>
    <col min="14359" max="14359" width="3.7109375" style="526" customWidth="1"/>
    <col min="14360" max="14588" width="12.5703125" style="526"/>
    <col min="14589" max="14589" width="24.42578125" style="526" customWidth="1"/>
    <col min="14590" max="14591" width="11.7109375" style="526" customWidth="1"/>
    <col min="14592" max="14592" width="13.140625" style="526" customWidth="1"/>
    <col min="14593" max="14593" width="5.7109375" style="526" customWidth="1"/>
    <col min="14594" max="14594" width="11.7109375" style="526" customWidth="1"/>
    <col min="14595" max="14595" width="13.140625" style="526" customWidth="1"/>
    <col min="14596" max="14596" width="5.7109375" style="526" customWidth="1"/>
    <col min="14597" max="14597" width="11.7109375" style="526" customWidth="1"/>
    <col min="14598" max="14598" width="13.140625" style="526" customWidth="1"/>
    <col min="14599" max="14599" width="5.7109375" style="526" customWidth="1"/>
    <col min="14600" max="14600" width="13.28515625" style="526" customWidth="1"/>
    <col min="14601" max="14601" width="13.140625" style="526" customWidth="1"/>
    <col min="14602" max="14602" width="5.7109375" style="526" customWidth="1"/>
    <col min="14603" max="14603" width="13.28515625" style="526" customWidth="1"/>
    <col min="14604" max="14604" width="13.140625" style="526" customWidth="1"/>
    <col min="14605" max="14605" width="5.7109375" style="526" customWidth="1"/>
    <col min="14606" max="14606" width="13.28515625" style="526" bestFit="1" customWidth="1"/>
    <col min="14607" max="14607" width="13.140625" style="526" customWidth="1"/>
    <col min="14608" max="14608" width="5.7109375" style="526" customWidth="1"/>
    <col min="14609" max="14610" width="12.5703125" style="526"/>
    <col min="14611" max="14611" width="5.7109375" style="526" customWidth="1"/>
    <col min="14612" max="14613" width="12.5703125" style="526"/>
    <col min="14614" max="14614" width="5.7109375" style="526" customWidth="1"/>
    <col min="14615" max="14615" width="3.7109375" style="526" customWidth="1"/>
    <col min="14616" max="14844" width="12.5703125" style="526"/>
    <col min="14845" max="14845" width="24.42578125" style="526" customWidth="1"/>
    <col min="14846" max="14847" width="11.7109375" style="526" customWidth="1"/>
    <col min="14848" max="14848" width="13.140625" style="526" customWidth="1"/>
    <col min="14849" max="14849" width="5.7109375" style="526" customWidth="1"/>
    <col min="14850" max="14850" width="11.7109375" style="526" customWidth="1"/>
    <col min="14851" max="14851" width="13.140625" style="526" customWidth="1"/>
    <col min="14852" max="14852" width="5.7109375" style="526" customWidth="1"/>
    <col min="14853" max="14853" width="11.7109375" style="526" customWidth="1"/>
    <col min="14854" max="14854" width="13.140625" style="526" customWidth="1"/>
    <col min="14855" max="14855" width="5.7109375" style="526" customWidth="1"/>
    <col min="14856" max="14856" width="13.28515625" style="526" customWidth="1"/>
    <col min="14857" max="14857" width="13.140625" style="526" customWidth="1"/>
    <col min="14858" max="14858" width="5.7109375" style="526" customWidth="1"/>
    <col min="14859" max="14859" width="13.28515625" style="526" customWidth="1"/>
    <col min="14860" max="14860" width="13.140625" style="526" customWidth="1"/>
    <col min="14861" max="14861" width="5.7109375" style="526" customWidth="1"/>
    <col min="14862" max="14862" width="13.28515625" style="526" bestFit="1" customWidth="1"/>
    <col min="14863" max="14863" width="13.140625" style="526" customWidth="1"/>
    <col min="14864" max="14864" width="5.7109375" style="526" customWidth="1"/>
    <col min="14865" max="14866" width="12.5703125" style="526"/>
    <col min="14867" max="14867" width="5.7109375" style="526" customWidth="1"/>
    <col min="14868" max="14869" width="12.5703125" style="526"/>
    <col min="14870" max="14870" width="5.7109375" style="526" customWidth="1"/>
    <col min="14871" max="14871" width="3.7109375" style="526" customWidth="1"/>
    <col min="14872" max="15100" width="12.5703125" style="526"/>
    <col min="15101" max="15101" width="24.42578125" style="526" customWidth="1"/>
    <col min="15102" max="15103" width="11.7109375" style="526" customWidth="1"/>
    <col min="15104" max="15104" width="13.140625" style="526" customWidth="1"/>
    <col min="15105" max="15105" width="5.7109375" style="526" customWidth="1"/>
    <col min="15106" max="15106" width="11.7109375" style="526" customWidth="1"/>
    <col min="15107" max="15107" width="13.140625" style="526" customWidth="1"/>
    <col min="15108" max="15108" width="5.7109375" style="526" customWidth="1"/>
    <col min="15109" max="15109" width="11.7109375" style="526" customWidth="1"/>
    <col min="15110" max="15110" width="13.140625" style="526" customWidth="1"/>
    <col min="15111" max="15111" width="5.7109375" style="526" customWidth="1"/>
    <col min="15112" max="15112" width="13.28515625" style="526" customWidth="1"/>
    <col min="15113" max="15113" width="13.140625" style="526" customWidth="1"/>
    <col min="15114" max="15114" width="5.7109375" style="526" customWidth="1"/>
    <col min="15115" max="15115" width="13.28515625" style="526" customWidth="1"/>
    <col min="15116" max="15116" width="13.140625" style="526" customWidth="1"/>
    <col min="15117" max="15117" width="5.7109375" style="526" customWidth="1"/>
    <col min="15118" max="15118" width="13.28515625" style="526" bestFit="1" customWidth="1"/>
    <col min="15119" max="15119" width="13.140625" style="526" customWidth="1"/>
    <col min="15120" max="15120" width="5.7109375" style="526" customWidth="1"/>
    <col min="15121" max="15122" width="12.5703125" style="526"/>
    <col min="15123" max="15123" width="5.7109375" style="526" customWidth="1"/>
    <col min="15124" max="15125" width="12.5703125" style="526"/>
    <col min="15126" max="15126" width="5.7109375" style="526" customWidth="1"/>
    <col min="15127" max="15127" width="3.7109375" style="526" customWidth="1"/>
    <col min="15128" max="15356" width="12.5703125" style="526"/>
    <col min="15357" max="15357" width="24.42578125" style="526" customWidth="1"/>
    <col min="15358" max="15359" width="11.7109375" style="526" customWidth="1"/>
    <col min="15360" max="15360" width="13.140625" style="526" customWidth="1"/>
    <col min="15361" max="15361" width="5.7109375" style="526" customWidth="1"/>
    <col min="15362" max="15362" width="11.7109375" style="526" customWidth="1"/>
    <col min="15363" max="15363" width="13.140625" style="526" customWidth="1"/>
    <col min="15364" max="15364" width="5.7109375" style="526" customWidth="1"/>
    <col min="15365" max="15365" width="11.7109375" style="526" customWidth="1"/>
    <col min="15366" max="15366" width="13.140625" style="526" customWidth="1"/>
    <col min="15367" max="15367" width="5.7109375" style="526" customWidth="1"/>
    <col min="15368" max="15368" width="13.28515625" style="526" customWidth="1"/>
    <col min="15369" max="15369" width="13.140625" style="526" customWidth="1"/>
    <col min="15370" max="15370" width="5.7109375" style="526" customWidth="1"/>
    <col min="15371" max="15371" width="13.28515625" style="526" customWidth="1"/>
    <col min="15372" max="15372" width="13.140625" style="526" customWidth="1"/>
    <col min="15373" max="15373" width="5.7109375" style="526" customWidth="1"/>
    <col min="15374" max="15374" width="13.28515625" style="526" bestFit="1" customWidth="1"/>
    <col min="15375" max="15375" width="13.140625" style="526" customWidth="1"/>
    <col min="15376" max="15376" width="5.7109375" style="526" customWidth="1"/>
    <col min="15377" max="15378" width="12.5703125" style="526"/>
    <col min="15379" max="15379" width="5.7109375" style="526" customWidth="1"/>
    <col min="15380" max="15381" width="12.5703125" style="526"/>
    <col min="15382" max="15382" width="5.7109375" style="526" customWidth="1"/>
    <col min="15383" max="15383" width="3.7109375" style="526" customWidth="1"/>
    <col min="15384" max="15612" width="12.5703125" style="526"/>
    <col min="15613" max="15613" width="24.42578125" style="526" customWidth="1"/>
    <col min="15614" max="15615" width="11.7109375" style="526" customWidth="1"/>
    <col min="15616" max="15616" width="13.140625" style="526" customWidth="1"/>
    <col min="15617" max="15617" width="5.7109375" style="526" customWidth="1"/>
    <col min="15618" max="15618" width="11.7109375" style="526" customWidth="1"/>
    <col min="15619" max="15619" width="13.140625" style="526" customWidth="1"/>
    <col min="15620" max="15620" width="5.7109375" style="526" customWidth="1"/>
    <col min="15621" max="15621" width="11.7109375" style="526" customWidth="1"/>
    <col min="15622" max="15622" width="13.140625" style="526" customWidth="1"/>
    <col min="15623" max="15623" width="5.7109375" style="526" customWidth="1"/>
    <col min="15624" max="15624" width="13.28515625" style="526" customWidth="1"/>
    <col min="15625" max="15625" width="13.140625" style="526" customWidth="1"/>
    <col min="15626" max="15626" width="5.7109375" style="526" customWidth="1"/>
    <col min="15627" max="15627" width="13.28515625" style="526" customWidth="1"/>
    <col min="15628" max="15628" width="13.140625" style="526" customWidth="1"/>
    <col min="15629" max="15629" width="5.7109375" style="526" customWidth="1"/>
    <col min="15630" max="15630" width="13.28515625" style="526" bestFit="1" customWidth="1"/>
    <col min="15631" max="15631" width="13.140625" style="526" customWidth="1"/>
    <col min="15632" max="15632" width="5.7109375" style="526" customWidth="1"/>
    <col min="15633" max="15634" width="12.5703125" style="526"/>
    <col min="15635" max="15635" width="5.7109375" style="526" customWidth="1"/>
    <col min="15636" max="15637" width="12.5703125" style="526"/>
    <col min="15638" max="15638" width="5.7109375" style="526" customWidth="1"/>
    <col min="15639" max="15639" width="3.7109375" style="526" customWidth="1"/>
    <col min="15640" max="15868" width="12.5703125" style="526"/>
    <col min="15869" max="15869" width="24.42578125" style="526" customWidth="1"/>
    <col min="15870" max="15871" width="11.7109375" style="526" customWidth="1"/>
    <col min="15872" max="15872" width="13.140625" style="526" customWidth="1"/>
    <col min="15873" max="15873" width="5.7109375" style="526" customWidth="1"/>
    <col min="15874" max="15874" width="11.7109375" style="526" customWidth="1"/>
    <col min="15875" max="15875" width="13.140625" style="526" customWidth="1"/>
    <col min="15876" max="15876" width="5.7109375" style="526" customWidth="1"/>
    <col min="15877" max="15877" width="11.7109375" style="526" customWidth="1"/>
    <col min="15878" max="15878" width="13.140625" style="526" customWidth="1"/>
    <col min="15879" max="15879" width="5.7109375" style="526" customWidth="1"/>
    <col min="15880" max="15880" width="13.28515625" style="526" customWidth="1"/>
    <col min="15881" max="15881" width="13.140625" style="526" customWidth="1"/>
    <col min="15882" max="15882" width="5.7109375" style="526" customWidth="1"/>
    <col min="15883" max="15883" width="13.28515625" style="526" customWidth="1"/>
    <col min="15884" max="15884" width="13.140625" style="526" customWidth="1"/>
    <col min="15885" max="15885" width="5.7109375" style="526" customWidth="1"/>
    <col min="15886" max="15886" width="13.28515625" style="526" bestFit="1" customWidth="1"/>
    <col min="15887" max="15887" width="13.140625" style="526" customWidth="1"/>
    <col min="15888" max="15888" width="5.7109375" style="526" customWidth="1"/>
    <col min="15889" max="15890" width="12.5703125" style="526"/>
    <col min="15891" max="15891" width="5.7109375" style="526" customWidth="1"/>
    <col min="15892" max="15893" width="12.5703125" style="526"/>
    <col min="15894" max="15894" width="5.7109375" style="526" customWidth="1"/>
    <col min="15895" max="15895" width="3.7109375" style="526" customWidth="1"/>
    <col min="15896" max="16124" width="12.5703125" style="526"/>
    <col min="16125" max="16125" width="24.42578125" style="526" customWidth="1"/>
    <col min="16126" max="16127" width="11.7109375" style="526" customWidth="1"/>
    <col min="16128" max="16128" width="13.140625" style="526" customWidth="1"/>
    <col min="16129" max="16129" width="5.7109375" style="526" customWidth="1"/>
    <col min="16130" max="16130" width="11.7109375" style="526" customWidth="1"/>
    <col min="16131" max="16131" width="13.140625" style="526" customWidth="1"/>
    <col min="16132" max="16132" width="5.7109375" style="526" customWidth="1"/>
    <col min="16133" max="16133" width="11.7109375" style="526" customWidth="1"/>
    <col min="16134" max="16134" width="13.140625" style="526" customWidth="1"/>
    <col min="16135" max="16135" width="5.7109375" style="526" customWidth="1"/>
    <col min="16136" max="16136" width="13.28515625" style="526" customWidth="1"/>
    <col min="16137" max="16137" width="13.140625" style="526" customWidth="1"/>
    <col min="16138" max="16138" width="5.7109375" style="526" customWidth="1"/>
    <col min="16139" max="16139" width="13.28515625" style="526" customWidth="1"/>
    <col min="16140" max="16140" width="13.140625" style="526" customWidth="1"/>
    <col min="16141" max="16141" width="5.7109375" style="526" customWidth="1"/>
    <col min="16142" max="16142" width="13.28515625" style="526" bestFit="1" customWidth="1"/>
    <col min="16143" max="16143" width="13.140625" style="526" customWidth="1"/>
    <col min="16144" max="16144" width="5.7109375" style="526" customWidth="1"/>
    <col min="16145" max="16146" width="12.5703125" style="526"/>
    <col min="16147" max="16147" width="5.7109375" style="526" customWidth="1"/>
    <col min="16148" max="16149" width="12.5703125" style="526"/>
    <col min="16150" max="16150" width="5.7109375" style="526" customWidth="1"/>
    <col min="16151" max="16151" width="3.7109375" style="526" customWidth="1"/>
    <col min="16152" max="16384" width="12.5703125" style="526"/>
  </cols>
  <sheetData>
    <row r="3" spans="2:25">
      <c r="Y3" s="528"/>
    </row>
    <row r="4" spans="2:25" ht="38.25" customHeight="1" thickBot="1">
      <c r="B4" s="1348" t="s">
        <v>594</v>
      </c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N4" s="1348" t="s">
        <v>594</v>
      </c>
      <c r="O4" s="1348"/>
      <c r="P4" s="1348"/>
      <c r="Q4" s="1348"/>
      <c r="R4" s="1348"/>
      <c r="S4" s="1348"/>
      <c r="T4" s="1348"/>
      <c r="U4" s="1348"/>
      <c r="V4" s="1348"/>
      <c r="W4" s="1348"/>
      <c r="X4" s="1348"/>
      <c r="Y4" s="528"/>
    </row>
    <row r="5" spans="2:25" s="528" customFormat="1" ht="17.25" customHeight="1" thickBot="1">
      <c r="B5" s="1336" t="s">
        <v>194</v>
      </c>
      <c r="C5" s="1339">
        <v>2000</v>
      </c>
      <c r="D5" s="1340"/>
      <c r="E5" s="1339">
        <v>2001</v>
      </c>
      <c r="F5" s="1340"/>
      <c r="G5" s="1339">
        <v>2002</v>
      </c>
      <c r="H5" s="1340"/>
      <c r="I5" s="1339">
        <v>2003</v>
      </c>
      <c r="J5" s="1340"/>
      <c r="K5" s="1339">
        <v>2004</v>
      </c>
      <c r="L5" s="1340"/>
      <c r="M5" s="526"/>
      <c r="N5" s="1336" t="s">
        <v>194</v>
      </c>
      <c r="O5" s="1339">
        <v>2005</v>
      </c>
      <c r="P5" s="1340"/>
      <c r="Q5" s="1339">
        <v>2006</v>
      </c>
      <c r="R5" s="1340"/>
      <c r="S5" s="1339">
        <v>2007</v>
      </c>
      <c r="T5" s="1340"/>
      <c r="U5" s="1339">
        <v>2008</v>
      </c>
      <c r="V5" s="1340"/>
      <c r="W5" s="1339">
        <v>2009</v>
      </c>
      <c r="X5" s="1340"/>
    </row>
    <row r="6" spans="2:25" s="528" customFormat="1" ht="83.25" customHeight="1" thickBot="1">
      <c r="B6" s="1337"/>
      <c r="C6" s="821" t="s">
        <v>387</v>
      </c>
      <c r="D6" s="821" t="s">
        <v>388</v>
      </c>
      <c r="E6" s="821" t="s">
        <v>387</v>
      </c>
      <c r="F6" s="821" t="s">
        <v>388</v>
      </c>
      <c r="G6" s="821" t="s">
        <v>387</v>
      </c>
      <c r="H6" s="821" t="s">
        <v>388</v>
      </c>
      <c r="I6" s="821" t="s">
        <v>387</v>
      </c>
      <c r="J6" s="821" t="s">
        <v>388</v>
      </c>
      <c r="K6" s="821" t="s">
        <v>387</v>
      </c>
      <c r="L6" s="821" t="s">
        <v>388</v>
      </c>
      <c r="M6" s="526"/>
      <c r="N6" s="1337"/>
      <c r="O6" s="821" t="s">
        <v>387</v>
      </c>
      <c r="P6" s="821" t="s">
        <v>388</v>
      </c>
      <c r="Q6" s="821" t="s">
        <v>387</v>
      </c>
      <c r="R6" s="821" t="s">
        <v>388</v>
      </c>
      <c r="S6" s="821" t="s">
        <v>387</v>
      </c>
      <c r="T6" s="821" t="s">
        <v>388</v>
      </c>
      <c r="U6" s="821" t="s">
        <v>387</v>
      </c>
      <c r="V6" s="821" t="s">
        <v>388</v>
      </c>
      <c r="W6" s="821" t="s">
        <v>387</v>
      </c>
      <c r="X6" s="821" t="s">
        <v>388</v>
      </c>
    </row>
    <row r="7" spans="2:25" s="529" customFormat="1" ht="15" customHeight="1" thickBot="1">
      <c r="B7" s="805" t="s">
        <v>6</v>
      </c>
      <c r="C7" s="896">
        <v>4040</v>
      </c>
      <c r="D7" s="896">
        <v>3987</v>
      </c>
      <c r="E7" s="896">
        <v>3900</v>
      </c>
      <c r="F7" s="896">
        <v>3900</v>
      </c>
      <c r="G7" s="896">
        <v>3900</v>
      </c>
      <c r="H7" s="896">
        <v>3900</v>
      </c>
      <c r="I7" s="896">
        <v>3900</v>
      </c>
      <c r="J7" s="896">
        <v>3900</v>
      </c>
      <c r="K7" s="896">
        <v>3900</v>
      </c>
      <c r="L7" s="896">
        <v>3900</v>
      </c>
      <c r="M7" s="526"/>
      <c r="N7" s="805" t="s">
        <v>6</v>
      </c>
      <c r="O7" s="896">
        <v>3900</v>
      </c>
      <c r="P7" s="896">
        <v>3900</v>
      </c>
      <c r="Q7" s="896">
        <v>3930</v>
      </c>
      <c r="R7" s="896">
        <v>3934.73</v>
      </c>
      <c r="S7" s="896">
        <v>3934.73</v>
      </c>
      <c r="T7" s="896">
        <v>3934.73</v>
      </c>
      <c r="U7" s="896">
        <v>3931.7</v>
      </c>
      <c r="V7" s="896">
        <v>3721.39</v>
      </c>
      <c r="W7" s="896">
        <v>3919.52</v>
      </c>
      <c r="X7" s="896">
        <v>3711.02</v>
      </c>
    </row>
    <row r="8" spans="2:25" s="529" customFormat="1" ht="15" customHeight="1" thickBot="1">
      <c r="B8" s="433" t="s">
        <v>7</v>
      </c>
      <c r="C8" s="897">
        <v>8690</v>
      </c>
      <c r="D8" s="897">
        <v>8590</v>
      </c>
      <c r="E8" s="897">
        <v>7870</v>
      </c>
      <c r="F8" s="897">
        <v>7800</v>
      </c>
      <c r="G8" s="897">
        <v>7860</v>
      </c>
      <c r="H8" s="897">
        <v>7690</v>
      </c>
      <c r="I8" s="897">
        <v>7957.5</v>
      </c>
      <c r="J8" s="897">
        <v>7900</v>
      </c>
      <c r="K8" s="897">
        <v>7957.5</v>
      </c>
      <c r="L8" s="897">
        <v>7920</v>
      </c>
      <c r="M8" s="526"/>
      <c r="N8" s="433" t="s">
        <v>7</v>
      </c>
      <c r="O8" s="897">
        <v>8077</v>
      </c>
      <c r="P8" s="897">
        <v>8049</v>
      </c>
      <c r="Q8" s="897">
        <v>8835</v>
      </c>
      <c r="R8" s="897">
        <v>8049</v>
      </c>
      <c r="S8" s="897">
        <v>7949</v>
      </c>
      <c r="T8" s="897">
        <v>7932</v>
      </c>
      <c r="U8" s="897">
        <v>8931.18</v>
      </c>
      <c r="V8" s="897">
        <v>8858.57</v>
      </c>
      <c r="W8" s="897">
        <v>8629</v>
      </c>
      <c r="X8" s="897">
        <v>8517.74</v>
      </c>
    </row>
    <row r="9" spans="2:25" s="529" customFormat="1" ht="15" customHeight="1" thickBot="1">
      <c r="B9" s="805" t="s">
        <v>8</v>
      </c>
      <c r="C9" s="896">
        <v>2440</v>
      </c>
      <c r="D9" s="896">
        <v>2340</v>
      </c>
      <c r="E9" s="896">
        <v>2450</v>
      </c>
      <c r="F9" s="896">
        <v>2190</v>
      </c>
      <c r="G9" s="896">
        <v>2455</v>
      </c>
      <c r="H9" s="896">
        <v>2040</v>
      </c>
      <c r="I9" s="896">
        <v>2445</v>
      </c>
      <c r="J9" s="896">
        <v>2390</v>
      </c>
      <c r="K9" s="896">
        <v>2442</v>
      </c>
      <c r="L9" s="896">
        <v>2390</v>
      </c>
      <c r="M9" s="526"/>
      <c r="N9" s="805" t="s">
        <v>8</v>
      </c>
      <c r="O9" s="896">
        <v>2442</v>
      </c>
      <c r="P9" s="896">
        <v>2390</v>
      </c>
      <c r="Q9" s="896">
        <v>2533</v>
      </c>
      <c r="R9" s="896">
        <v>2411.37</v>
      </c>
      <c r="S9" s="896">
        <v>2552.17</v>
      </c>
      <c r="T9" s="896">
        <v>2413.0300000000002</v>
      </c>
      <c r="U9" s="896">
        <v>2800.12</v>
      </c>
      <c r="V9" s="896">
        <v>2765.19</v>
      </c>
      <c r="W9" s="896">
        <v>2800.13</v>
      </c>
      <c r="X9" s="896">
        <v>2765.2</v>
      </c>
    </row>
    <row r="10" spans="2:25" s="529" customFormat="1" ht="15" customHeight="1" thickBot="1">
      <c r="B10" s="433" t="s">
        <v>9</v>
      </c>
      <c r="C10" s="897">
        <v>1540</v>
      </c>
      <c r="D10" s="897">
        <v>1540</v>
      </c>
      <c r="E10" s="897">
        <v>4250</v>
      </c>
      <c r="F10" s="897">
        <v>4250</v>
      </c>
      <c r="G10" s="897">
        <v>4247.9999999999991</v>
      </c>
      <c r="H10" s="897">
        <v>4247.9999999999991</v>
      </c>
      <c r="I10" s="897">
        <v>4248</v>
      </c>
      <c r="J10" s="897">
        <v>4248</v>
      </c>
      <c r="K10" s="897">
        <v>4247.9999999999991</v>
      </c>
      <c r="L10" s="897">
        <v>4247.9999999999991</v>
      </c>
      <c r="M10" s="526"/>
      <c r="N10" s="433" t="s">
        <v>9</v>
      </c>
      <c r="O10" s="897">
        <v>4247.9999999999991</v>
      </c>
      <c r="P10" s="897">
        <v>4248</v>
      </c>
      <c r="Q10" s="897">
        <v>2576.8000000000002</v>
      </c>
      <c r="R10" s="897">
        <v>4248</v>
      </c>
      <c r="S10" s="897">
        <v>2913.55</v>
      </c>
      <c r="T10" s="897">
        <v>2913.55</v>
      </c>
      <c r="U10" s="897">
        <v>2916.56</v>
      </c>
      <c r="V10" s="897">
        <v>2913.71</v>
      </c>
      <c r="W10" s="897">
        <v>2917.54</v>
      </c>
      <c r="X10" s="897">
        <v>2914.6899999999996</v>
      </c>
    </row>
    <row r="11" spans="2:25" s="529" customFormat="1" ht="15" customHeight="1" thickBot="1">
      <c r="B11" s="805" t="s">
        <v>12</v>
      </c>
      <c r="C11" s="896">
        <v>6546</v>
      </c>
      <c r="D11" s="896">
        <v>6410</v>
      </c>
      <c r="E11" s="896">
        <v>6480</v>
      </c>
      <c r="F11" s="896">
        <v>6470</v>
      </c>
      <c r="G11" s="896">
        <v>8720</v>
      </c>
      <c r="H11" s="896">
        <v>7100</v>
      </c>
      <c r="I11" s="896">
        <v>8720</v>
      </c>
      <c r="J11" s="896">
        <v>8110</v>
      </c>
      <c r="K11" s="896">
        <v>8720</v>
      </c>
      <c r="L11" s="896">
        <v>8110</v>
      </c>
      <c r="M11" s="526"/>
      <c r="N11" s="805" t="s">
        <v>12</v>
      </c>
      <c r="O11" s="896">
        <v>10140</v>
      </c>
      <c r="P11" s="896">
        <v>9530</v>
      </c>
      <c r="Q11" s="896">
        <v>10512.7</v>
      </c>
      <c r="R11" s="896">
        <v>9530</v>
      </c>
      <c r="S11" s="896">
        <v>9360</v>
      </c>
      <c r="T11" s="896">
        <v>8930</v>
      </c>
      <c r="U11" s="896">
        <v>5260</v>
      </c>
      <c r="V11" s="896">
        <v>4730</v>
      </c>
      <c r="W11" s="896">
        <v>8767.33</v>
      </c>
      <c r="X11" s="896">
        <v>7288.91</v>
      </c>
    </row>
    <row r="12" spans="2:25" s="529" customFormat="1" ht="15" customHeight="1" thickBot="1">
      <c r="B12" s="433" t="s">
        <v>13</v>
      </c>
      <c r="C12" s="897">
        <v>15510</v>
      </c>
      <c r="D12" s="897">
        <v>14636</v>
      </c>
      <c r="E12" s="897">
        <v>16420</v>
      </c>
      <c r="F12" s="897">
        <v>14410</v>
      </c>
      <c r="G12" s="897">
        <v>16426</v>
      </c>
      <c r="H12" s="897">
        <v>14410</v>
      </c>
      <c r="I12" s="897">
        <v>16426.000000000004</v>
      </c>
      <c r="J12" s="897">
        <v>14300</v>
      </c>
      <c r="K12" s="897">
        <v>16426.000000000004</v>
      </c>
      <c r="L12" s="897">
        <v>14300</v>
      </c>
      <c r="M12" s="526"/>
      <c r="N12" s="433" t="s">
        <v>13</v>
      </c>
      <c r="O12" s="897">
        <v>16426.000000000004</v>
      </c>
      <c r="P12" s="897">
        <v>14301</v>
      </c>
      <c r="Q12" s="897">
        <v>13141.7</v>
      </c>
      <c r="R12" s="897">
        <v>14301</v>
      </c>
      <c r="S12" s="897">
        <v>13215</v>
      </c>
      <c r="T12" s="897">
        <v>13215</v>
      </c>
      <c r="U12" s="897">
        <v>13215</v>
      </c>
      <c r="V12" s="897">
        <v>13215</v>
      </c>
      <c r="W12" s="897">
        <v>13215.372000000001</v>
      </c>
      <c r="X12" s="897">
        <v>13215.372000000001</v>
      </c>
    </row>
    <row r="13" spans="2:25" s="529" customFormat="1" ht="15" customHeight="1" thickBot="1">
      <c r="B13" s="805" t="s">
        <v>223</v>
      </c>
      <c r="C13" s="896">
        <v>8141</v>
      </c>
      <c r="D13" s="896">
        <v>7393</v>
      </c>
      <c r="E13" s="896">
        <v>11200</v>
      </c>
      <c r="F13" s="896">
        <v>10430</v>
      </c>
      <c r="G13" s="896">
        <v>11200</v>
      </c>
      <c r="H13" s="896">
        <v>10340</v>
      </c>
      <c r="I13" s="896">
        <v>9305</v>
      </c>
      <c r="J13" s="896">
        <v>8850</v>
      </c>
      <c r="K13" s="896">
        <v>9305</v>
      </c>
      <c r="L13" s="896">
        <v>8850</v>
      </c>
      <c r="M13" s="526"/>
      <c r="N13" s="805" t="s">
        <v>223</v>
      </c>
      <c r="O13" s="896">
        <v>9305</v>
      </c>
      <c r="P13" s="896">
        <v>8848</v>
      </c>
      <c r="Q13" s="896">
        <v>9360</v>
      </c>
      <c r="R13" s="896">
        <v>8930</v>
      </c>
      <c r="S13" s="896">
        <v>10595.65</v>
      </c>
      <c r="T13" s="896">
        <v>10222.39</v>
      </c>
      <c r="U13" s="896">
        <v>11155.64</v>
      </c>
      <c r="V13" s="896">
        <v>10356.85</v>
      </c>
      <c r="W13" s="896">
        <v>11650.550000000001</v>
      </c>
      <c r="X13" s="896">
        <v>11212.05</v>
      </c>
    </row>
    <row r="14" spans="2:25" s="529" customFormat="1" ht="15" customHeight="1" thickBot="1">
      <c r="B14" s="433" t="s">
        <v>11</v>
      </c>
      <c r="C14" s="897">
        <v>2800</v>
      </c>
      <c r="D14" s="897">
        <v>2740</v>
      </c>
      <c r="E14" s="897">
        <v>2800</v>
      </c>
      <c r="F14" s="897">
        <v>2770</v>
      </c>
      <c r="G14" s="897">
        <v>2800</v>
      </c>
      <c r="H14" s="897">
        <v>2770</v>
      </c>
      <c r="I14" s="897">
        <v>2800</v>
      </c>
      <c r="J14" s="897">
        <v>2770</v>
      </c>
      <c r="K14" s="897">
        <v>2800</v>
      </c>
      <c r="L14" s="897">
        <v>2770</v>
      </c>
      <c r="M14" s="526"/>
      <c r="N14" s="433" t="s">
        <v>11</v>
      </c>
      <c r="O14" s="897">
        <v>2800</v>
      </c>
      <c r="P14" s="897">
        <v>2770</v>
      </c>
      <c r="Q14" s="897">
        <v>4039</v>
      </c>
      <c r="R14" s="897">
        <v>2770</v>
      </c>
      <c r="S14" s="897">
        <v>3638</v>
      </c>
      <c r="T14" s="897">
        <v>3638</v>
      </c>
      <c r="U14" s="897">
        <v>3651.88</v>
      </c>
      <c r="V14" s="897">
        <v>3647.88</v>
      </c>
      <c r="W14" s="897">
        <v>3750.94</v>
      </c>
      <c r="X14" s="897">
        <v>3691.61</v>
      </c>
    </row>
    <row r="15" spans="2:25" s="529" customFormat="1" ht="15" customHeight="1" thickBot="1">
      <c r="B15" s="805" t="s">
        <v>14</v>
      </c>
      <c r="C15" s="896">
        <v>35500</v>
      </c>
      <c r="D15" s="896">
        <v>35500</v>
      </c>
      <c r="E15" s="896">
        <v>35730</v>
      </c>
      <c r="F15" s="896">
        <v>35730</v>
      </c>
      <c r="G15" s="896">
        <v>35730</v>
      </c>
      <c r="H15" s="896">
        <v>35730</v>
      </c>
      <c r="I15" s="896">
        <v>35730</v>
      </c>
      <c r="J15" s="896">
        <v>35730</v>
      </c>
      <c r="K15" s="896">
        <v>35730</v>
      </c>
      <c r="L15" s="896">
        <v>35730</v>
      </c>
      <c r="M15" s="526"/>
      <c r="N15" s="805" t="s">
        <v>14</v>
      </c>
      <c r="O15" s="896">
        <v>35730</v>
      </c>
      <c r="P15" s="896">
        <v>35730</v>
      </c>
      <c r="Q15" s="896">
        <v>32342.1</v>
      </c>
      <c r="R15" s="896">
        <v>35730</v>
      </c>
      <c r="S15" s="896">
        <v>33463.120000000003</v>
      </c>
      <c r="T15" s="896">
        <v>32269.1</v>
      </c>
      <c r="U15" s="896">
        <v>33463.120000000003</v>
      </c>
      <c r="V15" s="896">
        <v>32269.1</v>
      </c>
      <c r="W15" s="896">
        <v>32088</v>
      </c>
      <c r="X15" s="896">
        <v>31538.25</v>
      </c>
    </row>
    <row r="16" spans="2:25" s="529" customFormat="1" ht="15" customHeight="1" thickBot="1">
      <c r="B16" s="433" t="s">
        <v>15</v>
      </c>
      <c r="C16" s="897">
        <v>7160</v>
      </c>
      <c r="D16" s="897">
        <v>6613</v>
      </c>
      <c r="E16" s="897">
        <v>6770</v>
      </c>
      <c r="F16" s="897">
        <v>6000</v>
      </c>
      <c r="G16" s="897">
        <v>7576</v>
      </c>
      <c r="H16" s="897">
        <v>6400</v>
      </c>
      <c r="I16" s="897">
        <v>7632</v>
      </c>
      <c r="J16" s="897">
        <v>6370</v>
      </c>
      <c r="K16" s="897">
        <v>7632</v>
      </c>
      <c r="L16" s="897">
        <v>6370</v>
      </c>
      <c r="M16" s="526"/>
      <c r="N16" s="433" t="s">
        <v>15</v>
      </c>
      <c r="O16" s="897">
        <v>7632</v>
      </c>
      <c r="P16" s="897">
        <v>6370</v>
      </c>
      <c r="Q16" s="897">
        <v>7389.3</v>
      </c>
      <c r="R16" s="897">
        <v>7098.45</v>
      </c>
      <c r="S16" s="897">
        <v>7565.36</v>
      </c>
      <c r="T16" s="897">
        <v>6794.18</v>
      </c>
      <c r="U16" s="897">
        <v>7588.36</v>
      </c>
      <c r="V16" s="897">
        <v>7178.9</v>
      </c>
      <c r="W16" s="897">
        <v>7922.88</v>
      </c>
      <c r="X16" s="897">
        <v>7534.16</v>
      </c>
    </row>
    <row r="17" spans="2:24" s="529" customFormat="1" ht="15" customHeight="1" thickBot="1">
      <c r="B17" s="805" t="s">
        <v>16</v>
      </c>
      <c r="C17" s="896">
        <v>12220</v>
      </c>
      <c r="D17" s="896">
        <v>11574</v>
      </c>
      <c r="E17" s="896">
        <v>13490</v>
      </c>
      <c r="F17" s="896">
        <v>11780</v>
      </c>
      <c r="G17" s="896">
        <v>13494</v>
      </c>
      <c r="H17" s="896">
        <v>11780</v>
      </c>
      <c r="I17" s="896">
        <v>13494</v>
      </c>
      <c r="J17" s="896">
        <v>12520</v>
      </c>
      <c r="K17" s="896">
        <v>13674</v>
      </c>
      <c r="L17" s="896">
        <v>12570</v>
      </c>
      <c r="M17" s="526"/>
      <c r="N17" s="805" t="s">
        <v>16</v>
      </c>
      <c r="O17" s="896">
        <v>13674</v>
      </c>
      <c r="P17" s="896">
        <v>12574</v>
      </c>
      <c r="Q17" s="896">
        <v>13675</v>
      </c>
      <c r="R17" s="896">
        <v>12575</v>
      </c>
      <c r="S17" s="896">
        <v>13675</v>
      </c>
      <c r="T17" s="896">
        <v>12575</v>
      </c>
      <c r="U17" s="896">
        <v>13689</v>
      </c>
      <c r="V17" s="896">
        <v>12709.51</v>
      </c>
      <c r="W17" s="896">
        <v>13689.213</v>
      </c>
      <c r="X17" s="896">
        <v>12709.723</v>
      </c>
    </row>
    <row r="18" spans="2:24" s="529" customFormat="1" ht="15" customHeight="1" thickBot="1">
      <c r="B18" s="433" t="s">
        <v>17</v>
      </c>
      <c r="C18" s="897">
        <v>6804</v>
      </c>
      <c r="D18" s="897">
        <v>6395</v>
      </c>
      <c r="E18" s="897">
        <v>6990</v>
      </c>
      <c r="F18" s="897">
        <v>6730</v>
      </c>
      <c r="G18" s="897">
        <v>6998</v>
      </c>
      <c r="H18" s="897">
        <v>6310</v>
      </c>
      <c r="I18" s="897">
        <v>7286.0000000000009</v>
      </c>
      <c r="J18" s="897">
        <v>6930</v>
      </c>
      <c r="K18" s="897">
        <v>7420</v>
      </c>
      <c r="L18" s="897">
        <v>7080</v>
      </c>
      <c r="M18" s="526"/>
      <c r="N18" s="433" t="s">
        <v>17</v>
      </c>
      <c r="O18" s="897">
        <v>7420</v>
      </c>
      <c r="P18" s="897">
        <v>7078</v>
      </c>
      <c r="Q18" s="897">
        <v>7368</v>
      </c>
      <c r="R18" s="897">
        <v>6410.06</v>
      </c>
      <c r="S18" s="897">
        <v>7521.25</v>
      </c>
      <c r="T18" s="897">
        <v>6612.59</v>
      </c>
      <c r="U18" s="897">
        <v>7617.34</v>
      </c>
      <c r="V18" s="897">
        <v>6700.66</v>
      </c>
      <c r="W18" s="897">
        <v>7701.79</v>
      </c>
      <c r="X18" s="897">
        <v>6794.89</v>
      </c>
    </row>
    <row r="19" spans="2:24" s="529" customFormat="1" ht="15" customHeight="1" thickBot="1">
      <c r="B19" s="805" t="s">
        <v>18</v>
      </c>
      <c r="C19" s="896">
        <v>5520</v>
      </c>
      <c r="D19" s="896">
        <v>3620</v>
      </c>
      <c r="E19" s="896">
        <v>4120</v>
      </c>
      <c r="F19" s="896">
        <v>3900</v>
      </c>
      <c r="G19" s="896">
        <v>4115</v>
      </c>
      <c r="H19" s="896">
        <v>3900</v>
      </c>
      <c r="I19" s="896">
        <v>4115</v>
      </c>
      <c r="J19" s="896">
        <v>3900</v>
      </c>
      <c r="K19" s="896">
        <v>4115</v>
      </c>
      <c r="L19" s="896">
        <v>3900</v>
      </c>
      <c r="M19" s="526"/>
      <c r="N19" s="805" t="s">
        <v>18</v>
      </c>
      <c r="O19" s="896">
        <v>4115</v>
      </c>
      <c r="P19" s="896">
        <v>3911</v>
      </c>
      <c r="Q19" s="896">
        <v>4114.2</v>
      </c>
      <c r="R19" s="896">
        <v>3908.5</v>
      </c>
      <c r="S19" s="896">
        <v>4115</v>
      </c>
      <c r="T19" s="896">
        <v>3919</v>
      </c>
      <c r="U19" s="896">
        <v>4303.9799999999996</v>
      </c>
      <c r="V19" s="896">
        <v>4099.54</v>
      </c>
      <c r="W19" s="896">
        <v>4279.16</v>
      </c>
      <c r="X19" s="896">
        <v>4082.96</v>
      </c>
    </row>
    <row r="20" spans="2:24" s="529" customFormat="1" ht="15" customHeight="1" thickBot="1">
      <c r="B20" s="433" t="s">
        <v>19</v>
      </c>
      <c r="C20" s="897">
        <v>18600</v>
      </c>
      <c r="D20" s="897">
        <v>17790</v>
      </c>
      <c r="E20" s="897">
        <v>19030</v>
      </c>
      <c r="F20" s="897">
        <v>18710</v>
      </c>
      <c r="G20" s="897">
        <v>19032.999999999996</v>
      </c>
      <c r="H20" s="897">
        <v>17890</v>
      </c>
      <c r="I20" s="897">
        <v>19032.999999999996</v>
      </c>
      <c r="J20" s="897">
        <v>17890</v>
      </c>
      <c r="K20" s="897">
        <v>20599</v>
      </c>
      <c r="L20" s="897">
        <v>20370</v>
      </c>
      <c r="M20" s="526"/>
      <c r="N20" s="433" t="s">
        <v>19</v>
      </c>
      <c r="O20" s="897">
        <v>20599</v>
      </c>
      <c r="P20" s="897">
        <v>20366</v>
      </c>
      <c r="Q20" s="897">
        <v>20649</v>
      </c>
      <c r="R20" s="897">
        <v>20096</v>
      </c>
      <c r="S20" s="897">
        <v>20649.34</v>
      </c>
      <c r="T20" s="897">
        <v>20106.91</v>
      </c>
      <c r="U20" s="897">
        <v>20838.490000000002</v>
      </c>
      <c r="V20" s="897">
        <v>20296.060000000001</v>
      </c>
      <c r="W20" s="897">
        <v>20693.603999999999</v>
      </c>
      <c r="X20" s="897">
        <v>20276.009999999998</v>
      </c>
    </row>
    <row r="21" spans="2:24" s="529" customFormat="1" ht="15" customHeight="1" thickBot="1">
      <c r="B21" s="805" t="s">
        <v>20</v>
      </c>
      <c r="C21" s="896">
        <v>36520</v>
      </c>
      <c r="D21" s="896">
        <v>36430</v>
      </c>
      <c r="E21" s="896">
        <v>36540</v>
      </c>
      <c r="F21" s="896">
        <v>36200</v>
      </c>
      <c r="G21" s="896">
        <v>36540.410000000003</v>
      </c>
      <c r="H21" s="896">
        <v>36200</v>
      </c>
      <c r="I21" s="896">
        <v>37832</v>
      </c>
      <c r="J21" s="896">
        <v>37130</v>
      </c>
      <c r="K21" s="896">
        <v>37832</v>
      </c>
      <c r="L21" s="896">
        <v>37130</v>
      </c>
      <c r="M21" s="526"/>
      <c r="N21" s="805" t="s">
        <v>20</v>
      </c>
      <c r="O21" s="896">
        <v>37960</v>
      </c>
      <c r="P21" s="896">
        <v>37179</v>
      </c>
      <c r="Q21" s="896">
        <v>37960</v>
      </c>
      <c r="R21" s="896">
        <v>37179</v>
      </c>
      <c r="S21" s="896">
        <v>37960</v>
      </c>
      <c r="T21" s="896">
        <v>37179</v>
      </c>
      <c r="U21" s="896">
        <v>37428</v>
      </c>
      <c r="V21" s="896">
        <v>37179</v>
      </c>
      <c r="W21" s="896">
        <v>35476.269999999997</v>
      </c>
      <c r="X21" s="896">
        <v>35476.269999999997</v>
      </c>
    </row>
    <row r="22" spans="2:24" s="529" customFormat="1" ht="15" customHeight="1" thickBot="1">
      <c r="B22" s="433" t="s">
        <v>224</v>
      </c>
      <c r="C22" s="897">
        <v>9220</v>
      </c>
      <c r="D22" s="897">
        <v>6559</v>
      </c>
      <c r="E22" s="897">
        <v>10240</v>
      </c>
      <c r="F22" s="897">
        <v>8040</v>
      </c>
      <c r="G22" s="897">
        <v>10510</v>
      </c>
      <c r="H22" s="897">
        <v>7900</v>
      </c>
      <c r="I22" s="897">
        <v>10600.000000000002</v>
      </c>
      <c r="J22" s="897">
        <v>8600</v>
      </c>
      <c r="K22" s="897">
        <v>10590</v>
      </c>
      <c r="L22" s="897">
        <v>8600</v>
      </c>
      <c r="M22" s="526"/>
      <c r="N22" s="433" t="s">
        <v>224</v>
      </c>
      <c r="O22" s="897">
        <v>10590</v>
      </c>
      <c r="P22" s="897">
        <v>8620</v>
      </c>
      <c r="Q22" s="897">
        <v>14649.9</v>
      </c>
      <c r="R22" s="897">
        <v>8620</v>
      </c>
      <c r="S22" s="897">
        <v>10590</v>
      </c>
      <c r="T22" s="897">
        <v>8620</v>
      </c>
      <c r="U22" s="897">
        <v>14680.97</v>
      </c>
      <c r="V22" s="897">
        <v>13444.24</v>
      </c>
      <c r="W22" s="897">
        <v>14683.04</v>
      </c>
      <c r="X22" s="897">
        <v>13922.73</v>
      </c>
    </row>
    <row r="23" spans="2:24" s="529" customFormat="1" ht="15" customHeight="1" thickBot="1">
      <c r="B23" s="805" t="s">
        <v>22</v>
      </c>
      <c r="C23" s="896">
        <v>8186</v>
      </c>
      <c r="D23" s="896">
        <v>7608</v>
      </c>
      <c r="E23" s="896">
        <v>9500</v>
      </c>
      <c r="F23" s="896">
        <v>9500</v>
      </c>
      <c r="G23" s="896">
        <v>9504.0000000000018</v>
      </c>
      <c r="H23" s="896">
        <v>9504.0000000000018</v>
      </c>
      <c r="I23" s="896">
        <v>9504.0000000000018</v>
      </c>
      <c r="J23" s="896">
        <v>9360</v>
      </c>
      <c r="K23" s="896">
        <v>9500</v>
      </c>
      <c r="L23" s="896">
        <v>9360</v>
      </c>
      <c r="M23" s="526"/>
      <c r="N23" s="805" t="s">
        <v>22</v>
      </c>
      <c r="O23" s="896">
        <v>9500</v>
      </c>
      <c r="P23" s="896">
        <v>9362</v>
      </c>
      <c r="Q23" s="896">
        <v>9896</v>
      </c>
      <c r="R23" s="896">
        <v>9362</v>
      </c>
      <c r="S23" s="896">
        <v>9941</v>
      </c>
      <c r="T23" s="896">
        <v>9729</v>
      </c>
      <c r="U23" s="896">
        <v>9941.2000000000007</v>
      </c>
      <c r="V23" s="896">
        <v>9643.11</v>
      </c>
      <c r="W23" s="896">
        <v>9941.2000000000007</v>
      </c>
      <c r="X23" s="896">
        <v>9643.15</v>
      </c>
    </row>
    <row r="24" spans="2:24" s="529" customFormat="1" ht="15" customHeight="1" thickBot="1">
      <c r="B24" s="433" t="s">
        <v>23</v>
      </c>
      <c r="C24" s="897">
        <v>2686</v>
      </c>
      <c r="D24" s="897">
        <v>2685</v>
      </c>
      <c r="E24" s="897">
        <v>2750</v>
      </c>
      <c r="F24" s="897">
        <v>2710</v>
      </c>
      <c r="G24" s="897">
        <v>2750</v>
      </c>
      <c r="H24" s="897">
        <v>2710</v>
      </c>
      <c r="I24" s="897">
        <v>2758</v>
      </c>
      <c r="J24" s="897">
        <v>2740</v>
      </c>
      <c r="K24" s="897">
        <v>2758</v>
      </c>
      <c r="L24" s="897">
        <v>2740</v>
      </c>
      <c r="M24" s="526"/>
      <c r="N24" s="433" t="s">
        <v>23</v>
      </c>
      <c r="O24" s="897">
        <v>2758</v>
      </c>
      <c r="P24" s="897">
        <v>2736</v>
      </c>
      <c r="Q24" s="897">
        <v>2764</v>
      </c>
      <c r="R24" s="897">
        <v>2764</v>
      </c>
      <c r="S24" s="897">
        <v>3123.29</v>
      </c>
      <c r="T24" s="897">
        <v>3098.06</v>
      </c>
      <c r="U24" s="897">
        <v>3123.29</v>
      </c>
      <c r="V24" s="897">
        <v>3098.06</v>
      </c>
      <c r="W24" s="897">
        <v>3123.2920000000004</v>
      </c>
      <c r="X24" s="897">
        <v>3079.8910000000001</v>
      </c>
    </row>
    <row r="25" spans="2:24" s="529" customFormat="1" ht="15" customHeight="1" thickBot="1">
      <c r="B25" s="805" t="s">
        <v>24</v>
      </c>
      <c r="C25" s="896">
        <v>12137</v>
      </c>
      <c r="D25" s="896">
        <v>12079</v>
      </c>
      <c r="E25" s="896">
        <v>12130</v>
      </c>
      <c r="F25" s="896">
        <v>11860</v>
      </c>
      <c r="G25" s="896">
        <v>12123.3</v>
      </c>
      <c r="H25" s="896">
        <v>11870</v>
      </c>
      <c r="I25" s="896">
        <v>12123.3</v>
      </c>
      <c r="J25" s="896">
        <v>11870</v>
      </c>
      <c r="K25" s="896">
        <v>12123.3</v>
      </c>
      <c r="L25" s="896">
        <v>11870</v>
      </c>
      <c r="M25" s="526"/>
      <c r="N25" s="805" t="s">
        <v>24</v>
      </c>
      <c r="O25" s="896">
        <v>12123</v>
      </c>
      <c r="P25" s="896">
        <v>11866</v>
      </c>
      <c r="Q25" s="896">
        <v>11017</v>
      </c>
      <c r="R25" s="896">
        <v>12867.26</v>
      </c>
      <c r="S25" s="896">
        <v>12370.46</v>
      </c>
      <c r="T25" s="896">
        <v>12112.43</v>
      </c>
      <c r="U25" s="896">
        <v>12289.31</v>
      </c>
      <c r="V25" s="896">
        <v>12024.91</v>
      </c>
      <c r="W25" s="896">
        <v>12582.179999999995</v>
      </c>
      <c r="X25" s="896">
        <v>12321.679999999995</v>
      </c>
    </row>
    <row r="26" spans="2:24" s="529" customFormat="1" ht="15" customHeight="1" thickBot="1">
      <c r="B26" s="433" t="s">
        <v>25</v>
      </c>
      <c r="C26" s="897">
        <v>3542</v>
      </c>
      <c r="D26" s="897">
        <v>1960</v>
      </c>
      <c r="E26" s="897">
        <v>4180</v>
      </c>
      <c r="F26" s="897">
        <v>3800</v>
      </c>
      <c r="G26" s="897">
        <v>4175</v>
      </c>
      <c r="H26" s="897">
        <v>3790</v>
      </c>
      <c r="I26" s="897">
        <v>4240</v>
      </c>
      <c r="J26" s="897">
        <v>4060</v>
      </c>
      <c r="K26" s="897">
        <v>4240</v>
      </c>
      <c r="L26" s="897">
        <v>4060</v>
      </c>
      <c r="M26" s="526"/>
      <c r="N26" s="433" t="s">
        <v>25</v>
      </c>
      <c r="O26" s="897">
        <v>4240</v>
      </c>
      <c r="P26" s="897">
        <v>4059</v>
      </c>
      <c r="Q26" s="897">
        <v>4550</v>
      </c>
      <c r="R26" s="897">
        <v>4059</v>
      </c>
      <c r="S26" s="897">
        <v>4733</v>
      </c>
      <c r="T26" s="897">
        <v>4464</v>
      </c>
      <c r="U26" s="897">
        <v>4893</v>
      </c>
      <c r="V26" s="897">
        <v>4624</v>
      </c>
      <c r="W26" s="897">
        <v>4929.54</v>
      </c>
      <c r="X26" s="897">
        <v>4857.57</v>
      </c>
    </row>
    <row r="27" spans="2:24" s="529" customFormat="1" ht="15" customHeight="1" thickBot="1">
      <c r="B27" s="805" t="s">
        <v>36</v>
      </c>
      <c r="C27" s="896">
        <v>8360</v>
      </c>
      <c r="D27" s="896">
        <v>6776</v>
      </c>
      <c r="E27" s="896">
        <v>8370</v>
      </c>
      <c r="F27" s="896">
        <v>7090</v>
      </c>
      <c r="G27" s="896">
        <v>8751.0000000000018</v>
      </c>
      <c r="H27" s="896">
        <v>7770</v>
      </c>
      <c r="I27" s="896">
        <v>9517</v>
      </c>
      <c r="J27" s="896">
        <v>8720</v>
      </c>
      <c r="K27" s="896">
        <v>9517</v>
      </c>
      <c r="L27" s="896">
        <v>8720</v>
      </c>
      <c r="M27" s="526"/>
      <c r="N27" s="805" t="s">
        <v>36</v>
      </c>
      <c r="O27" s="896">
        <v>9602</v>
      </c>
      <c r="P27" s="896">
        <v>8809</v>
      </c>
      <c r="Q27" s="896">
        <v>14512</v>
      </c>
      <c r="R27" s="896">
        <v>8809</v>
      </c>
      <c r="S27" s="896">
        <v>9671</v>
      </c>
      <c r="T27" s="896">
        <v>9565</v>
      </c>
      <c r="U27" s="896">
        <v>9817.9500000000007</v>
      </c>
      <c r="V27" s="896">
        <v>9619.7900000000009</v>
      </c>
      <c r="W27" s="896">
        <v>9822.9000000000015</v>
      </c>
      <c r="X27" s="896">
        <v>9717.1689999999999</v>
      </c>
    </row>
    <row r="28" spans="2:24" s="529" customFormat="1" ht="15" customHeight="1" thickBot="1">
      <c r="B28" s="433" t="s">
        <v>225</v>
      </c>
      <c r="C28" s="897">
        <v>3739</v>
      </c>
      <c r="D28" s="897">
        <v>3190</v>
      </c>
      <c r="E28" s="897">
        <v>4260</v>
      </c>
      <c r="F28" s="897">
        <v>3980</v>
      </c>
      <c r="G28" s="897">
        <v>4229</v>
      </c>
      <c r="H28" s="897">
        <v>3940</v>
      </c>
      <c r="I28" s="897">
        <v>5049.21</v>
      </c>
      <c r="J28" s="897">
        <v>4880</v>
      </c>
      <c r="K28" s="897">
        <v>5049.21</v>
      </c>
      <c r="L28" s="897">
        <v>4880</v>
      </c>
      <c r="M28" s="526"/>
      <c r="N28" s="433" t="s">
        <v>225</v>
      </c>
      <c r="O28" s="897">
        <v>5049</v>
      </c>
      <c r="P28" s="897">
        <v>4877</v>
      </c>
      <c r="Q28" s="897">
        <v>5049.2</v>
      </c>
      <c r="R28" s="897">
        <v>4877.13</v>
      </c>
      <c r="S28" s="897">
        <v>5049.21</v>
      </c>
      <c r="T28" s="897">
        <v>4877.13</v>
      </c>
      <c r="U28" s="897">
        <v>5049.21</v>
      </c>
      <c r="V28" s="897">
        <v>4937.13</v>
      </c>
      <c r="W28" s="897">
        <v>5049.21</v>
      </c>
      <c r="X28" s="897">
        <v>4937.13</v>
      </c>
    </row>
    <row r="29" spans="2:24" s="529" customFormat="1" ht="15" customHeight="1" thickBot="1">
      <c r="B29" s="805" t="s">
        <v>27</v>
      </c>
      <c r="C29" s="896">
        <v>3262</v>
      </c>
      <c r="D29" s="896">
        <v>3262</v>
      </c>
      <c r="E29" s="896">
        <v>3830</v>
      </c>
      <c r="F29" s="896">
        <v>3830</v>
      </c>
      <c r="G29" s="896">
        <v>2029.9999999999998</v>
      </c>
      <c r="H29" s="896">
        <v>2029.9999999999998</v>
      </c>
      <c r="I29" s="896">
        <v>2029.9999999999998</v>
      </c>
      <c r="J29" s="896">
        <v>2030</v>
      </c>
      <c r="K29" s="896">
        <v>2029.9999999999998</v>
      </c>
      <c r="L29" s="896">
        <v>2030</v>
      </c>
      <c r="M29" s="526"/>
      <c r="N29" s="805" t="s">
        <v>27</v>
      </c>
      <c r="O29" s="896">
        <v>2029.9999999999998</v>
      </c>
      <c r="P29" s="896">
        <v>2030</v>
      </c>
      <c r="Q29" s="896">
        <v>1799</v>
      </c>
      <c r="R29" s="896">
        <v>2030</v>
      </c>
      <c r="S29" s="896">
        <v>4755.25</v>
      </c>
      <c r="T29" s="896">
        <v>4699.55</v>
      </c>
      <c r="U29" s="896">
        <v>3907.26</v>
      </c>
      <c r="V29" s="896">
        <v>3831.47</v>
      </c>
      <c r="W29" s="896">
        <v>3907.2599999999998</v>
      </c>
      <c r="X29" s="896">
        <v>3831.47</v>
      </c>
    </row>
    <row r="30" spans="2:24" s="529" customFormat="1" ht="15" customHeight="1" thickBot="1">
      <c r="B30" s="433" t="s">
        <v>28</v>
      </c>
      <c r="C30" s="897">
        <v>4908</v>
      </c>
      <c r="D30" s="897">
        <v>4730</v>
      </c>
      <c r="E30" s="897">
        <v>5090</v>
      </c>
      <c r="F30" s="897">
        <v>4540</v>
      </c>
      <c r="G30" s="897">
        <v>5143.9335000000001</v>
      </c>
      <c r="H30" s="897">
        <v>4570</v>
      </c>
      <c r="I30" s="897">
        <v>5143.9335000000001</v>
      </c>
      <c r="J30" s="897">
        <v>4580</v>
      </c>
      <c r="K30" s="897">
        <v>5143.9336000000003</v>
      </c>
      <c r="L30" s="897">
        <v>4580</v>
      </c>
      <c r="M30" s="526"/>
      <c r="N30" s="433" t="s">
        <v>28</v>
      </c>
      <c r="O30" s="897">
        <v>5144</v>
      </c>
      <c r="P30" s="897">
        <v>4597</v>
      </c>
      <c r="Q30" s="897">
        <v>5458</v>
      </c>
      <c r="R30" s="897">
        <v>4597.17</v>
      </c>
      <c r="S30" s="897">
        <v>5458.76</v>
      </c>
      <c r="T30" s="897">
        <v>5045.0200000000004</v>
      </c>
      <c r="U30" s="897">
        <v>5458.76</v>
      </c>
      <c r="V30" s="897">
        <v>5052.33</v>
      </c>
      <c r="W30" s="897">
        <v>5470</v>
      </c>
      <c r="X30" s="897">
        <v>5051</v>
      </c>
    </row>
    <row r="31" spans="2:24" s="529" customFormat="1" ht="15" customHeight="1" thickBot="1">
      <c r="B31" s="805" t="s">
        <v>29</v>
      </c>
      <c r="C31" s="896">
        <v>11103</v>
      </c>
      <c r="D31" s="896">
        <v>10400</v>
      </c>
      <c r="E31" s="896">
        <v>9800</v>
      </c>
      <c r="F31" s="896">
        <v>9390</v>
      </c>
      <c r="G31" s="896">
        <v>9797.1</v>
      </c>
      <c r="H31" s="896">
        <v>9390</v>
      </c>
      <c r="I31" s="896">
        <v>10253.599999999999</v>
      </c>
      <c r="J31" s="896">
        <v>9930</v>
      </c>
      <c r="K31" s="896">
        <v>10187.6</v>
      </c>
      <c r="L31" s="896">
        <v>9940</v>
      </c>
      <c r="M31" s="526"/>
      <c r="N31" s="805" t="s">
        <v>29</v>
      </c>
      <c r="O31" s="896">
        <v>10288</v>
      </c>
      <c r="P31" s="896">
        <v>10189</v>
      </c>
      <c r="Q31" s="896">
        <v>9921</v>
      </c>
      <c r="R31" s="896">
        <v>10188.530000000001</v>
      </c>
      <c r="S31" s="896">
        <v>10111.379999999999</v>
      </c>
      <c r="T31" s="896">
        <v>9888.3799999999992</v>
      </c>
      <c r="U31" s="896">
        <v>10135.379999999999</v>
      </c>
      <c r="V31" s="896">
        <v>9914.3799999999992</v>
      </c>
      <c r="W31" s="896">
        <v>10135.379999999999</v>
      </c>
      <c r="X31" s="896">
        <v>9914.3799999999992</v>
      </c>
    </row>
    <row r="32" spans="2:24" s="529" customFormat="1" ht="15" customHeight="1" thickBot="1">
      <c r="B32" s="433" t="s">
        <v>37</v>
      </c>
      <c r="C32" s="897">
        <v>12129</v>
      </c>
      <c r="D32" s="897">
        <v>11205</v>
      </c>
      <c r="E32" s="897">
        <v>13240</v>
      </c>
      <c r="F32" s="897">
        <v>12520</v>
      </c>
      <c r="G32" s="897">
        <v>13239</v>
      </c>
      <c r="H32" s="897">
        <v>12540</v>
      </c>
      <c r="I32" s="897">
        <v>13239</v>
      </c>
      <c r="J32" s="897">
        <v>12540</v>
      </c>
      <c r="K32" s="897">
        <v>13239</v>
      </c>
      <c r="L32" s="897">
        <v>12540</v>
      </c>
      <c r="M32" s="526"/>
      <c r="N32" s="433" t="s">
        <v>37</v>
      </c>
      <c r="O32" s="897">
        <v>13239</v>
      </c>
      <c r="P32" s="897">
        <v>12535</v>
      </c>
      <c r="Q32" s="897">
        <v>12796.5</v>
      </c>
      <c r="R32" s="897">
        <v>12535</v>
      </c>
      <c r="S32" s="897">
        <v>12848.02</v>
      </c>
      <c r="T32" s="897">
        <v>12421.53</v>
      </c>
      <c r="U32" s="897">
        <v>12955.9</v>
      </c>
      <c r="V32" s="897">
        <v>12588.7</v>
      </c>
      <c r="W32" s="897">
        <v>12231.130000000001</v>
      </c>
      <c r="X32" s="897">
        <v>12025.62</v>
      </c>
    </row>
    <row r="33" spans="2:24" s="529" customFormat="1" ht="15" customHeight="1" thickBot="1">
      <c r="B33" s="805" t="s">
        <v>30</v>
      </c>
      <c r="C33" s="896">
        <v>5036</v>
      </c>
      <c r="D33" s="896">
        <v>5036</v>
      </c>
      <c r="E33" s="896">
        <v>5040</v>
      </c>
      <c r="F33" s="896">
        <v>5040</v>
      </c>
      <c r="G33" s="896">
        <v>5040</v>
      </c>
      <c r="H33" s="896">
        <v>5040</v>
      </c>
      <c r="I33" s="896">
        <v>5040</v>
      </c>
      <c r="J33" s="896">
        <v>5040</v>
      </c>
      <c r="K33" s="896">
        <v>5040</v>
      </c>
      <c r="L33" s="896">
        <v>5040</v>
      </c>
      <c r="M33" s="526"/>
      <c r="N33" s="805" t="s">
        <v>30</v>
      </c>
      <c r="O33" s="896">
        <v>5040</v>
      </c>
      <c r="P33" s="896">
        <v>5040</v>
      </c>
      <c r="Q33" s="896">
        <v>5040</v>
      </c>
      <c r="R33" s="896">
        <v>5040</v>
      </c>
      <c r="S33" s="896">
        <v>10421</v>
      </c>
      <c r="T33" s="896">
        <v>10421</v>
      </c>
      <c r="U33" s="896">
        <v>10421</v>
      </c>
      <c r="V33" s="896">
        <v>10421</v>
      </c>
      <c r="W33" s="896">
        <v>10448</v>
      </c>
      <c r="X33" s="896">
        <v>10448</v>
      </c>
    </row>
    <row r="34" spans="2:24" s="529" customFormat="1" ht="15" customHeight="1" thickBot="1">
      <c r="B34" s="433" t="s">
        <v>31</v>
      </c>
      <c r="C34" s="897">
        <v>13008</v>
      </c>
      <c r="D34" s="897">
        <v>12071</v>
      </c>
      <c r="E34" s="897">
        <v>10730</v>
      </c>
      <c r="F34" s="897">
        <v>10650</v>
      </c>
      <c r="G34" s="897">
        <v>10741.259999999998</v>
      </c>
      <c r="H34" s="897">
        <v>10650</v>
      </c>
      <c r="I34" s="897">
        <v>11598.54106</v>
      </c>
      <c r="J34" s="897">
        <v>11080</v>
      </c>
      <c r="K34" s="897">
        <v>11620.542000000001</v>
      </c>
      <c r="L34" s="897">
        <v>11100</v>
      </c>
      <c r="M34" s="526"/>
      <c r="N34" s="433" t="s">
        <v>31</v>
      </c>
      <c r="O34" s="897">
        <v>11621</v>
      </c>
      <c r="P34" s="897">
        <v>11104</v>
      </c>
      <c r="Q34" s="897">
        <v>11620.5</v>
      </c>
      <c r="R34" s="897">
        <v>11104.25</v>
      </c>
      <c r="S34" s="897">
        <v>11620.54</v>
      </c>
      <c r="T34" s="897">
        <v>11104.25</v>
      </c>
      <c r="U34" s="897">
        <v>11700.24</v>
      </c>
      <c r="V34" s="897">
        <v>11530.42</v>
      </c>
      <c r="W34" s="897">
        <v>10986.24</v>
      </c>
      <c r="X34" s="897">
        <v>10947.91</v>
      </c>
    </row>
    <row r="35" spans="2:24" s="529" customFormat="1" ht="15" customHeight="1" thickBot="1">
      <c r="B35" s="805" t="s">
        <v>32</v>
      </c>
      <c r="C35" s="896">
        <v>2691</v>
      </c>
      <c r="D35" s="896">
        <v>2021</v>
      </c>
      <c r="E35" s="896">
        <v>1940</v>
      </c>
      <c r="F35" s="896">
        <v>1880</v>
      </c>
      <c r="G35" s="896">
        <v>2072</v>
      </c>
      <c r="H35" s="896">
        <v>2010</v>
      </c>
      <c r="I35" s="896">
        <v>2194</v>
      </c>
      <c r="J35" s="896">
        <v>2194</v>
      </c>
      <c r="K35" s="896">
        <v>2194</v>
      </c>
      <c r="L35" s="896">
        <v>2194</v>
      </c>
      <c r="M35" s="526"/>
      <c r="N35" s="805" t="s">
        <v>32</v>
      </c>
      <c r="O35" s="896">
        <v>2259</v>
      </c>
      <c r="P35" s="896">
        <v>2253</v>
      </c>
      <c r="Q35" s="896">
        <v>2267.6</v>
      </c>
      <c r="R35" s="896">
        <v>2255.34</v>
      </c>
      <c r="S35" s="896">
        <v>2359</v>
      </c>
      <c r="T35" s="896">
        <v>2350</v>
      </c>
      <c r="U35" s="896">
        <v>2340.6</v>
      </c>
      <c r="V35" s="896">
        <v>2314.31</v>
      </c>
      <c r="W35" s="896">
        <v>2281.25</v>
      </c>
      <c r="X35" s="896">
        <v>2261.4</v>
      </c>
    </row>
    <row r="36" spans="2:24" s="529" customFormat="1" ht="15" customHeight="1" thickBot="1">
      <c r="B36" s="433" t="s">
        <v>262</v>
      </c>
      <c r="C36" s="897">
        <v>19370</v>
      </c>
      <c r="D36" s="897">
        <v>19370</v>
      </c>
      <c r="E36" s="897">
        <v>20450</v>
      </c>
      <c r="F36" s="897">
        <v>20310</v>
      </c>
      <c r="G36" s="897">
        <v>20454.72</v>
      </c>
      <c r="H36" s="897">
        <v>20310</v>
      </c>
      <c r="I36" s="897">
        <v>22771.700000000004</v>
      </c>
      <c r="J36" s="897">
        <v>22771.700000000004</v>
      </c>
      <c r="K36" s="897">
        <v>22771.700000000004</v>
      </c>
      <c r="L36" s="897">
        <v>22771.700000000004</v>
      </c>
      <c r="M36" s="526"/>
      <c r="N36" s="433" t="s">
        <v>262</v>
      </c>
      <c r="O36" s="897">
        <v>22772</v>
      </c>
      <c r="P36" s="897">
        <v>22772</v>
      </c>
      <c r="Q36" s="897">
        <v>21675.8</v>
      </c>
      <c r="R36" s="897">
        <v>22771.7</v>
      </c>
      <c r="S36" s="897">
        <v>22404.32</v>
      </c>
      <c r="T36" s="897">
        <v>21958.44</v>
      </c>
      <c r="U36" s="897">
        <v>21795.32</v>
      </c>
      <c r="V36" s="897">
        <v>21348.15</v>
      </c>
      <c r="W36" s="897">
        <v>21795.32</v>
      </c>
      <c r="X36" s="897">
        <v>21350.95</v>
      </c>
    </row>
    <row r="37" spans="2:24" s="529" customFormat="1" ht="15" customHeight="1" thickBot="1">
      <c r="B37" s="805" t="s">
        <v>34</v>
      </c>
      <c r="C37" s="896">
        <v>9390</v>
      </c>
      <c r="D37" s="896">
        <v>9220</v>
      </c>
      <c r="E37" s="896">
        <v>9480</v>
      </c>
      <c r="F37" s="896">
        <v>9480</v>
      </c>
      <c r="G37" s="896">
        <v>6879.3000000000011</v>
      </c>
      <c r="H37" s="896">
        <v>6879.3000000000011</v>
      </c>
      <c r="I37" s="896">
        <v>7359.9999999999991</v>
      </c>
      <c r="J37" s="896">
        <v>6340</v>
      </c>
      <c r="K37" s="896">
        <v>7360</v>
      </c>
      <c r="L37" s="896">
        <v>6890</v>
      </c>
      <c r="M37" s="526"/>
      <c r="N37" s="805" t="s">
        <v>34</v>
      </c>
      <c r="O37" s="896">
        <v>7360</v>
      </c>
      <c r="P37" s="896">
        <v>6968</v>
      </c>
      <c r="Q37" s="896">
        <v>6593.3</v>
      </c>
      <c r="R37" s="896">
        <v>6968</v>
      </c>
      <c r="S37" s="896">
        <v>6593.24</v>
      </c>
      <c r="T37" s="896">
        <v>5920.07</v>
      </c>
      <c r="U37" s="896">
        <v>6593.24</v>
      </c>
      <c r="V37" s="896">
        <v>6118.74</v>
      </c>
      <c r="W37" s="896">
        <v>6887.18</v>
      </c>
      <c r="X37" s="896">
        <v>6289.52</v>
      </c>
    </row>
    <row r="38" spans="2:24" s="529" customFormat="1" ht="15" customHeight="1" thickBot="1">
      <c r="B38" s="433" t="s">
        <v>35</v>
      </c>
      <c r="C38" s="897">
        <v>5909</v>
      </c>
      <c r="D38" s="897">
        <v>5689</v>
      </c>
      <c r="E38" s="897">
        <v>6230</v>
      </c>
      <c r="F38" s="897">
        <v>6060</v>
      </c>
      <c r="G38" s="897">
        <v>6229</v>
      </c>
      <c r="H38" s="897">
        <v>6070</v>
      </c>
      <c r="I38" s="897">
        <v>6336</v>
      </c>
      <c r="J38" s="897">
        <v>6190</v>
      </c>
      <c r="K38" s="897">
        <v>6382</v>
      </c>
      <c r="L38" s="897">
        <v>6230</v>
      </c>
      <c r="M38" s="526"/>
      <c r="N38" s="433" t="s">
        <v>35</v>
      </c>
      <c r="O38" s="897">
        <v>6384</v>
      </c>
      <c r="P38" s="897">
        <v>6234</v>
      </c>
      <c r="Q38" s="897">
        <v>6311.1</v>
      </c>
      <c r="R38" s="897">
        <v>6234</v>
      </c>
      <c r="S38" s="897">
        <v>6461</v>
      </c>
      <c r="T38" s="897">
        <v>6315</v>
      </c>
      <c r="U38" s="897">
        <v>6349.74</v>
      </c>
      <c r="V38" s="897">
        <v>6242.64</v>
      </c>
      <c r="W38" s="897">
        <v>6401.54</v>
      </c>
      <c r="X38" s="897">
        <v>6319.04</v>
      </c>
    </row>
    <row r="39" spans="2:24" s="530" customFormat="1" ht="15" customHeight="1" thickBot="1">
      <c r="B39" s="812" t="s">
        <v>389</v>
      </c>
      <c r="C39" s="818">
        <v>306707</v>
      </c>
      <c r="D39" s="818">
        <v>289419</v>
      </c>
      <c r="E39" s="819">
        <v>315300</v>
      </c>
      <c r="F39" s="818">
        <v>301950</v>
      </c>
      <c r="G39" s="818">
        <v>314764.02349999995</v>
      </c>
      <c r="H39" s="819">
        <v>297681.3</v>
      </c>
      <c r="I39" s="818">
        <v>320681.78456000006</v>
      </c>
      <c r="J39" s="818">
        <v>305863.7</v>
      </c>
      <c r="K39" s="819">
        <v>322546.7856</v>
      </c>
      <c r="L39" s="818">
        <v>309183.7</v>
      </c>
      <c r="M39" s="526"/>
      <c r="N39" s="812" t="s">
        <v>389</v>
      </c>
      <c r="O39" s="818">
        <v>324467</v>
      </c>
      <c r="P39" s="819">
        <v>311295</v>
      </c>
      <c r="Q39" s="818">
        <v>324346.69999999995</v>
      </c>
      <c r="R39" s="818">
        <v>312253.49000000005</v>
      </c>
      <c r="S39" s="819">
        <v>327617.64</v>
      </c>
      <c r="T39" s="818">
        <v>315243.33999999997</v>
      </c>
      <c r="U39" s="818">
        <v>328242.74</v>
      </c>
      <c r="V39" s="819">
        <v>317394.74</v>
      </c>
      <c r="W39" s="818">
        <v>328175.96099999995</v>
      </c>
      <c r="X39" s="818">
        <v>318647.46500000003</v>
      </c>
    </row>
    <row r="42" spans="2:24">
      <c r="B42" s="865" t="s">
        <v>546</v>
      </c>
      <c r="N42" s="865" t="s">
        <v>546</v>
      </c>
    </row>
  </sheetData>
  <sheetProtection password="CF4C" sheet="1" objects="1" scenarios="1"/>
  <mergeCells count="14">
    <mergeCell ref="K5:L5"/>
    <mergeCell ref="B4:L4"/>
    <mergeCell ref="N5:N6"/>
    <mergeCell ref="N4:X4"/>
    <mergeCell ref="B5:B6"/>
    <mergeCell ref="C5:D5"/>
    <mergeCell ref="E5:F5"/>
    <mergeCell ref="G5:H5"/>
    <mergeCell ref="I5:J5"/>
    <mergeCell ref="W5:X5"/>
    <mergeCell ref="O5:P5"/>
    <mergeCell ref="Q5:R5"/>
    <mergeCell ref="S5:T5"/>
    <mergeCell ref="U5:V5"/>
  </mergeCells>
  <conditionalFormatting sqref="U7:U38 S7:S38 Q7:Q38 O7:O38 K7:K38 I7:I38 G7:G38 E7:E38">
    <cfRule type="expression" dxfId="120" priority="43" stopIfTrue="1">
      <formula>IF($G$7/$E$7&gt;1.2,1,0)</formula>
    </cfRule>
  </conditionalFormatting>
  <conditionalFormatting sqref="U7:U38 S7:S38 Q7:Q38 K7:K38 I7:I38 G7:G38 E7:E38">
    <cfRule type="expression" dxfId="119" priority="39" stopIfTrue="1">
      <formula>E7/C7&lt;0.8</formula>
    </cfRule>
    <cfRule type="expression" dxfId="118" priority="40" stopIfTrue="1">
      <formula>E7/C7&lt;0.9</formula>
    </cfRule>
    <cfRule type="expression" dxfId="117" priority="41" stopIfTrue="1">
      <formula>E7/C7&gt;1.2</formula>
    </cfRule>
    <cfRule type="expression" dxfId="116" priority="42" stopIfTrue="1">
      <formula>E7/C7&gt;1.1</formula>
    </cfRule>
  </conditionalFormatting>
  <conditionalFormatting sqref="U7:U38 S7:S38 Q7:Q38 K7:K38 I7:I38">
    <cfRule type="expression" dxfId="115" priority="37" stopIfTrue="1">
      <formula>I7/G7&lt;0.8</formula>
    </cfRule>
    <cfRule type="expression" dxfId="114" priority="38" stopIfTrue="1">
      <formula>I7/G7&gt;1.2</formula>
    </cfRule>
  </conditionalFormatting>
  <conditionalFormatting sqref="G7:G38">
    <cfRule type="expression" dxfId="113" priority="35" stopIfTrue="1">
      <formula>G7/E7&lt;0.8</formula>
    </cfRule>
    <cfRule type="expression" dxfId="112" priority="36" stopIfTrue="1">
      <formula>G7/E7&gt;1.2</formula>
    </cfRule>
  </conditionalFormatting>
  <conditionalFormatting sqref="E7:E38">
    <cfRule type="expression" dxfId="111" priority="33" stopIfTrue="1">
      <formula>E7/C7&lt;0.8</formula>
    </cfRule>
    <cfRule type="expression" dxfId="110" priority="34" stopIfTrue="1">
      <formula>E7/C7&gt;1.2</formula>
    </cfRule>
  </conditionalFormatting>
  <conditionalFormatting sqref="W7:W38">
    <cfRule type="expression" dxfId="109" priority="32" stopIfTrue="1">
      <formula>IF($G$7/$E$7&gt;1.2,1,0)</formula>
    </cfRule>
  </conditionalFormatting>
  <conditionalFormatting sqref="W7:W38">
    <cfRule type="expression" dxfId="108" priority="28" stopIfTrue="1">
      <formula>W7/U7&lt;0.8</formula>
    </cfRule>
    <cfRule type="expression" dxfId="107" priority="29" stopIfTrue="1">
      <formula>W7/U7&lt;0.9</formula>
    </cfRule>
    <cfRule type="expression" dxfId="106" priority="30" stopIfTrue="1">
      <formula>W7/U7&gt;1.2</formula>
    </cfRule>
    <cfRule type="expression" dxfId="105" priority="31" stopIfTrue="1">
      <formula>W7/U7&gt;1.1</formula>
    </cfRule>
  </conditionalFormatting>
  <conditionalFormatting sqref="W7:W38">
    <cfRule type="expression" dxfId="104" priority="26" stopIfTrue="1">
      <formula>W7/U7&lt;0.8</formula>
    </cfRule>
    <cfRule type="expression" dxfId="103" priority="27" stopIfTrue="1">
      <formula>W7/U7&gt;1.2</formula>
    </cfRule>
  </conditionalFormatting>
  <conditionalFormatting sqref="U39 S39 Q39 O39 K39 I39 G39 E39">
    <cfRule type="expression" dxfId="102" priority="25" stopIfTrue="1">
      <formula>IF($G$7/$E$7&gt;1.2,1,0)</formula>
    </cfRule>
  </conditionalFormatting>
  <conditionalFormatting sqref="U39 S39 Q39 K39 I39 G39 E39">
    <cfRule type="expression" dxfId="101" priority="21" stopIfTrue="1">
      <formula>E39/C39&lt;0.8</formula>
    </cfRule>
    <cfRule type="expression" dxfId="100" priority="22" stopIfTrue="1">
      <formula>E39/C39&lt;0.9</formula>
    </cfRule>
    <cfRule type="expression" dxfId="99" priority="23" stopIfTrue="1">
      <formula>E39/C39&gt;1.2</formula>
    </cfRule>
    <cfRule type="expression" dxfId="98" priority="24" stopIfTrue="1">
      <formula>E39/C39&gt;1.1</formula>
    </cfRule>
  </conditionalFormatting>
  <conditionalFormatting sqref="U39 S39 Q39 K39 I39">
    <cfRule type="expression" dxfId="97" priority="19" stopIfTrue="1">
      <formula>I39/G39&lt;0.8</formula>
    </cfRule>
    <cfRule type="expression" dxfId="96" priority="20" stopIfTrue="1">
      <formula>I39/G39&gt;1.2</formula>
    </cfRule>
  </conditionalFormatting>
  <conditionalFormatting sqref="G39">
    <cfRule type="expression" dxfId="95" priority="17" stopIfTrue="1">
      <formula>G39/E39&lt;0.8</formula>
    </cfRule>
    <cfRule type="expression" dxfId="94" priority="18" stopIfTrue="1">
      <formula>G39/E39&gt;1.2</formula>
    </cfRule>
  </conditionalFormatting>
  <conditionalFormatting sqref="E39">
    <cfRule type="expression" dxfId="93" priority="15" stopIfTrue="1">
      <formula>E39/C39&lt;0.8</formula>
    </cfRule>
    <cfRule type="expression" dxfId="92" priority="16" stopIfTrue="1">
      <formula>E39/C39&gt;1.2</formula>
    </cfRule>
  </conditionalFormatting>
  <conditionalFormatting sqref="W39">
    <cfRule type="expression" dxfId="91" priority="14" stopIfTrue="1">
      <formula>IF($G$7/$E$7&gt;1.2,1,0)</formula>
    </cfRule>
  </conditionalFormatting>
  <conditionalFormatting sqref="W39">
    <cfRule type="expression" dxfId="90" priority="10" stopIfTrue="1">
      <formula>W39/U39&lt;0.8</formula>
    </cfRule>
    <cfRule type="expression" dxfId="89" priority="11" stopIfTrue="1">
      <formula>W39/U39&lt;0.9</formula>
    </cfRule>
    <cfRule type="expression" dxfId="88" priority="12" stopIfTrue="1">
      <formula>W39/U39&gt;1.2</formula>
    </cfRule>
    <cfRule type="expression" dxfId="87" priority="13" stopIfTrue="1">
      <formula>W39/U39&gt;1.1</formula>
    </cfRule>
  </conditionalFormatting>
  <conditionalFormatting sqref="W39">
    <cfRule type="expression" dxfId="86" priority="8" stopIfTrue="1">
      <formula>W39/U39&lt;0.8</formula>
    </cfRule>
    <cfRule type="expression" dxfId="85" priority="9" stopIfTrue="1">
      <formula>W39/U39&gt;1.2</formula>
    </cfRule>
  </conditionalFormatting>
  <conditionalFormatting sqref="W7:W38">
    <cfRule type="expression" dxfId="84" priority="7" stopIfTrue="1">
      <formula>IF($G$7/$E$7&gt;1.2,1,0)</formula>
    </cfRule>
  </conditionalFormatting>
  <conditionalFormatting sqref="W7:W38">
    <cfRule type="expression" dxfId="83" priority="3" stopIfTrue="1">
      <formula>W7/U7&lt;0.8</formula>
    </cfRule>
    <cfRule type="expression" dxfId="82" priority="4" stopIfTrue="1">
      <formula>W7/U7&lt;0.9</formula>
    </cfRule>
    <cfRule type="expression" dxfId="81" priority="5" stopIfTrue="1">
      <formula>W7/U7&gt;1.2</formula>
    </cfRule>
    <cfRule type="expression" dxfId="80" priority="6" stopIfTrue="1">
      <formula>W7/U7&gt;1.1</formula>
    </cfRule>
  </conditionalFormatting>
  <conditionalFormatting sqref="W7:W38">
    <cfRule type="expression" dxfId="79" priority="1" stopIfTrue="1">
      <formula>W7/U7&lt;0.8</formula>
    </cfRule>
    <cfRule type="expression" dxfId="78" priority="2" stopIfTrue="1">
      <formula>W7/U7&gt;1.2</formula>
    </cfRule>
  </conditionalFormatting>
  <conditionalFormatting sqref="O7:O39">
    <cfRule type="expression" dxfId="77" priority="44" stopIfTrue="1">
      <formula>O7/K7&lt;0.8</formula>
    </cfRule>
    <cfRule type="expression" dxfId="76" priority="45" stopIfTrue="1">
      <formula>O7/K7&lt;0.9</formula>
    </cfRule>
    <cfRule type="expression" dxfId="75" priority="46" stopIfTrue="1">
      <formula>O7/K7&gt;1.2</formula>
    </cfRule>
    <cfRule type="expression" dxfId="74" priority="47" stopIfTrue="1">
      <formula>O7/K7&gt;1.1</formula>
    </cfRule>
  </conditionalFormatting>
  <conditionalFormatting sqref="O7:O39">
    <cfRule type="expression" dxfId="73" priority="48" stopIfTrue="1">
      <formula>O7/K7&lt;0.8</formula>
    </cfRule>
    <cfRule type="expression" dxfId="72" priority="49" stopIfTrue="1">
      <formula>O7/K7&gt;1.2</formula>
    </cfRule>
  </conditionalFormatting>
  <printOptions horizontalCentered="1" verticalCentered="1"/>
  <pageMargins left="0.72" right="0.27559055118110237" top="0.27559055118110237" bottom="0.43307086614173229" header="0" footer="0"/>
  <pageSetup scale="84" fitToWidth="2" orientation="landscape" horizontalDpi="4294967293" r:id="rId1"/>
  <headerFooter alignWithMargins="0">
    <oddFooter>&amp;L&amp;5&amp;F:&amp;A:&amp;D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30" enableFormatConditionsCalculation="0">
    <tabColor rgb="FF00B0F0"/>
  </sheetPr>
  <dimension ref="A1:F47"/>
  <sheetViews>
    <sheetView showGridLines="0" zoomScaleNormal="100" workbookViewId="0">
      <selection activeCell="I11" sqref="I11"/>
    </sheetView>
  </sheetViews>
  <sheetFormatPr baseColWidth="10" defaultRowHeight="12.75"/>
  <cols>
    <col min="1" max="1" width="1.5703125" customWidth="1"/>
    <col min="2" max="2" width="36.7109375" customWidth="1"/>
    <col min="3" max="5" width="18.7109375" customWidth="1"/>
    <col min="6" max="6" width="1.7109375" customWidth="1"/>
  </cols>
  <sheetData>
    <row r="1" spans="1:6" s="46" customFormat="1" ht="12" customHeight="1">
      <c r="A1" s="261"/>
      <c r="B1" s="259"/>
      <c r="C1" s="260"/>
      <c r="D1" s="260"/>
      <c r="E1" s="260"/>
      <c r="F1" s="261"/>
    </row>
    <row r="2" spans="1:6" ht="20.25" customHeight="1" thickBot="1">
      <c r="A2" s="263"/>
      <c r="B2" s="1324" t="s">
        <v>390</v>
      </c>
      <c r="C2" s="1324"/>
      <c r="D2" s="1324"/>
      <c r="E2" s="1324"/>
      <c r="F2" s="263"/>
    </row>
    <row r="3" spans="1:6" ht="18" customHeight="1" thickBot="1">
      <c r="A3" s="263"/>
      <c r="B3" s="1336" t="s">
        <v>328</v>
      </c>
      <c r="C3" s="1333" t="s">
        <v>329</v>
      </c>
      <c r="D3" s="1335"/>
      <c r="E3" s="1336" t="s">
        <v>255</v>
      </c>
      <c r="F3" s="263"/>
    </row>
    <row r="4" spans="1:6" ht="18" customHeight="1" thickBot="1">
      <c r="A4" s="263"/>
      <c r="B4" s="1337"/>
      <c r="C4" s="820" t="s">
        <v>330</v>
      </c>
      <c r="D4" s="820" t="s">
        <v>331</v>
      </c>
      <c r="E4" s="1337"/>
      <c r="F4" s="263"/>
    </row>
    <row r="5" spans="1:6" ht="18" customHeight="1" thickBot="1">
      <c r="A5" s="263"/>
      <c r="B5" s="824" t="s">
        <v>505</v>
      </c>
      <c r="C5" s="824">
        <v>98</v>
      </c>
      <c r="D5" s="824">
        <v>4</v>
      </c>
      <c r="E5" s="824">
        <v>102</v>
      </c>
      <c r="F5" s="263"/>
    </row>
    <row r="6" spans="1:6" ht="17.25" customHeight="1" thickBot="1">
      <c r="A6" s="263"/>
      <c r="B6" s="433" t="s">
        <v>620</v>
      </c>
      <c r="C6" s="496">
        <v>28792</v>
      </c>
      <c r="D6" s="496">
        <v>1216</v>
      </c>
      <c r="E6" s="496">
        <v>30008</v>
      </c>
      <c r="F6" s="263"/>
    </row>
    <row r="7" spans="1:6" ht="17.25" customHeight="1" thickBot="1">
      <c r="A7" s="263"/>
      <c r="B7" s="805" t="s">
        <v>615</v>
      </c>
      <c r="C7" s="825">
        <v>361</v>
      </c>
      <c r="D7" s="825">
        <v>140</v>
      </c>
      <c r="E7" s="825">
        <v>501</v>
      </c>
      <c r="F7" s="263"/>
    </row>
    <row r="8" spans="1:6" ht="19.5" customHeight="1" thickBot="1">
      <c r="A8" s="263"/>
      <c r="B8" s="433" t="s">
        <v>616</v>
      </c>
      <c r="C8" s="496">
        <v>57511</v>
      </c>
      <c r="D8" s="496">
        <v>3525</v>
      </c>
      <c r="E8" s="496">
        <v>61036</v>
      </c>
      <c r="F8" s="263"/>
    </row>
    <row r="9" spans="1:6" ht="15" customHeight="1" thickBot="1">
      <c r="A9" s="263"/>
      <c r="B9" s="432" t="s">
        <v>228</v>
      </c>
      <c r="C9" s="495">
        <v>6050</v>
      </c>
      <c r="D9" s="495">
        <v>600</v>
      </c>
      <c r="E9" s="495">
        <v>6650</v>
      </c>
      <c r="F9" s="263"/>
    </row>
    <row r="10" spans="1:6" ht="15" customHeight="1" thickBot="1">
      <c r="A10" s="263"/>
      <c r="B10" s="433" t="s">
        <v>261</v>
      </c>
      <c r="C10" s="496">
        <v>71600</v>
      </c>
      <c r="D10" s="496">
        <v>1900</v>
      </c>
      <c r="E10" s="496">
        <v>73500</v>
      </c>
      <c r="F10" s="263"/>
    </row>
    <row r="11" spans="1:6" ht="15" customHeight="1" thickBot="1">
      <c r="A11" s="263"/>
      <c r="B11" s="805" t="s">
        <v>55</v>
      </c>
      <c r="C11" s="825">
        <v>71954</v>
      </c>
      <c r="D11" s="825">
        <v>7144</v>
      </c>
      <c r="E11" s="825">
        <v>79098</v>
      </c>
      <c r="F11" s="263"/>
    </row>
    <row r="12" spans="1:6" ht="15" customHeight="1" thickBot="1">
      <c r="A12" s="263"/>
      <c r="B12" s="433" t="s">
        <v>219</v>
      </c>
      <c r="C12" s="496">
        <v>730712</v>
      </c>
      <c r="D12" s="496">
        <v>11754</v>
      </c>
      <c r="E12" s="496">
        <v>742466</v>
      </c>
      <c r="F12" s="263"/>
    </row>
    <row r="13" spans="1:6" ht="15" customHeight="1" thickBot="1">
      <c r="A13" s="263"/>
      <c r="B13" s="805" t="s">
        <v>56</v>
      </c>
      <c r="C13" s="825">
        <v>115</v>
      </c>
      <c r="D13" s="825">
        <v>4</v>
      </c>
      <c r="E13" s="825">
        <v>119</v>
      </c>
      <c r="F13" s="263"/>
    </row>
    <row r="14" spans="1:6" ht="15" customHeight="1" thickBot="1">
      <c r="A14" s="263"/>
      <c r="B14" s="433" t="s">
        <v>57</v>
      </c>
      <c r="C14" s="496">
        <v>432</v>
      </c>
      <c r="D14" s="496">
        <v>16</v>
      </c>
      <c r="E14" s="496">
        <v>448</v>
      </c>
      <c r="F14" s="263"/>
    </row>
    <row r="15" spans="1:6" ht="18.75" customHeight="1">
      <c r="A15" s="263"/>
      <c r="B15" s="1349" t="s">
        <v>617</v>
      </c>
      <c r="C15" s="1349"/>
      <c r="D15" s="1349"/>
      <c r="E15" s="1349"/>
      <c r="F15" s="263"/>
    </row>
    <row r="16" spans="1:6" ht="15.75" customHeight="1">
      <c r="A16" s="263"/>
      <c r="B16" s="1349" t="s">
        <v>618</v>
      </c>
      <c r="C16" s="1350"/>
      <c r="D16" s="1350"/>
      <c r="E16" s="1350"/>
      <c r="F16" s="263"/>
    </row>
    <row r="17" spans="1:6" ht="18.75" customHeight="1">
      <c r="A17" s="263"/>
      <c r="B17" s="1349" t="s">
        <v>619</v>
      </c>
      <c r="C17" s="1350"/>
      <c r="D17" s="1350"/>
      <c r="E17" s="1350"/>
      <c r="F17" s="263"/>
    </row>
    <row r="18" spans="1:6">
      <c r="A18" s="263"/>
      <c r="B18" s="1332" t="s">
        <v>324</v>
      </c>
      <c r="C18" s="1332"/>
      <c r="D18" s="1332"/>
      <c r="E18" s="1332"/>
      <c r="F18" s="263"/>
    </row>
    <row r="19" spans="1:6">
      <c r="A19" s="263"/>
      <c r="B19" s="273"/>
      <c r="C19" s="273"/>
      <c r="D19" s="273"/>
      <c r="E19" s="273"/>
      <c r="F19" s="263"/>
    </row>
    <row r="22" spans="1:6">
      <c r="B22" s="237"/>
    </row>
    <row r="29" spans="1:6">
      <c r="B29" s="237"/>
    </row>
    <row r="32" spans="1:6">
      <c r="B32" s="235"/>
    </row>
    <row r="40" spans="2:2">
      <c r="B40" s="235"/>
    </row>
    <row r="47" spans="2:2">
      <c r="B47" s="242"/>
    </row>
  </sheetData>
  <sheetProtection password="CF4C" sheet="1" objects="1" scenarios="1"/>
  <customSheetViews>
    <customSheetView guid="{E9B43C8C-734F-433D-AD37-344F9303B5CC}" showPageBreaks="1" showGridLines="0" showRuler="0">
      <selection activeCell="D24" sqref="D24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1"/>
      <headerFooter alignWithMargins="0"/>
    </customSheetView>
    <customSheetView guid="{9BF398E0-33D8-4E64-94A2-9B7C822C8383}" showPageBreaks="1" showGridLines="0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2"/>
      <headerFooter alignWithMargins="0"/>
    </customSheetView>
    <customSheetView guid="{6DCFE324-2DF9-4BB0-88BD-A4AD316C7A9E}" showPageBreaks="1" showGridLines="0" printArea="1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3"/>
      <headerFooter alignWithMargins="0"/>
    </customSheetView>
    <customSheetView guid="{48A744A8-8180-4A3B-8108-49EF41816969}" showGridLines="0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4"/>
      <headerFooter alignWithMargins="0"/>
    </customSheetView>
    <customSheetView guid="{9E220BD5-A526-40BD-8239-3A0461590922}" showGridLines="0" showRuler="0">
      <selection activeCell="E12" sqref="E12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5"/>
      <headerFooter alignWithMargins="0"/>
    </customSheetView>
  </customSheetViews>
  <mergeCells count="8">
    <mergeCell ref="B2:E2"/>
    <mergeCell ref="B3:B4"/>
    <mergeCell ref="C3:D3"/>
    <mergeCell ref="E3:E4"/>
    <mergeCell ref="B18:E18"/>
    <mergeCell ref="B15:E15"/>
    <mergeCell ref="B16:E16"/>
    <mergeCell ref="B17:E17"/>
  </mergeCells>
  <phoneticPr fontId="9" type="noConversion"/>
  <printOptions horizontalCentered="1"/>
  <pageMargins left="0.19685039370078741" right="0.19685039370078741" top="0.59055118110236227" bottom="0.59055118110236227" header="0.39370078740157483" footer="0.39370078740157483"/>
  <pageSetup orientation="portrait" r:id="rId6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31" enableFormatConditionsCalculation="0">
    <tabColor rgb="FF00B0F0"/>
    <pageSetUpPr fitToPage="1"/>
  </sheetPr>
  <dimension ref="A1:L46"/>
  <sheetViews>
    <sheetView showGridLines="0" workbookViewId="0">
      <selection activeCell="C23" sqref="C23"/>
    </sheetView>
  </sheetViews>
  <sheetFormatPr baseColWidth="10" defaultRowHeight="12.75"/>
  <cols>
    <col min="1" max="1" width="1.7109375" customWidth="1"/>
    <col min="2" max="2" width="40.7109375" customWidth="1"/>
    <col min="3" max="3" width="12.140625" customWidth="1"/>
    <col min="4" max="4" width="11.7109375" customWidth="1"/>
    <col min="5" max="10" width="10.7109375" customWidth="1"/>
    <col min="11" max="11" width="12.85546875" customWidth="1"/>
    <col min="12" max="12" width="1.7109375" customWidth="1"/>
  </cols>
  <sheetData>
    <row r="1" spans="1:12" s="46" customFormat="1" ht="12" customHeight="1">
      <c r="A1" s="261"/>
      <c r="B1" s="259"/>
      <c r="C1" s="259"/>
      <c r="D1" s="259"/>
      <c r="E1" s="259"/>
      <c r="F1" s="259"/>
      <c r="G1" s="259"/>
      <c r="H1" s="259"/>
      <c r="I1" s="259"/>
      <c r="J1" s="259"/>
      <c r="K1" s="260"/>
      <c r="L1" s="261"/>
    </row>
    <row r="2" spans="1:12" ht="18.75" customHeight="1" thickBot="1">
      <c r="A2" s="263"/>
      <c r="B2" s="1324" t="s">
        <v>563</v>
      </c>
      <c r="C2" s="1324"/>
      <c r="D2" s="1324"/>
      <c r="E2" s="1324"/>
      <c r="F2" s="1324"/>
      <c r="G2" s="1324"/>
      <c r="H2" s="1324"/>
      <c r="I2" s="1324"/>
      <c r="J2" s="1324"/>
      <c r="K2" s="1324"/>
      <c r="L2" s="263"/>
    </row>
    <row r="3" spans="1:12" ht="39" customHeight="1" thickBot="1">
      <c r="A3" s="263"/>
      <c r="B3" s="1336" t="s">
        <v>58</v>
      </c>
      <c r="C3" s="1333" t="s">
        <v>332</v>
      </c>
      <c r="D3" s="1334"/>
      <c r="E3" s="1334"/>
      <c r="F3" s="1334"/>
      <c r="G3" s="1334"/>
      <c r="H3" s="1334"/>
      <c r="I3" s="1334"/>
      <c r="J3" s="1335"/>
      <c r="K3" s="1351" t="s">
        <v>62</v>
      </c>
      <c r="L3" s="263"/>
    </row>
    <row r="4" spans="1:12" ht="18" customHeight="1" thickBot="1">
      <c r="A4" s="263"/>
      <c r="B4" s="1337"/>
      <c r="C4" s="820" t="s">
        <v>220</v>
      </c>
      <c r="D4" s="820" t="s">
        <v>221</v>
      </c>
      <c r="E4" s="820" t="s">
        <v>222</v>
      </c>
      <c r="F4" s="820" t="s">
        <v>134</v>
      </c>
      <c r="G4" s="820">
        <v>2006</v>
      </c>
      <c r="H4" s="820">
        <v>2007</v>
      </c>
      <c r="I4" s="820">
        <v>2008</v>
      </c>
      <c r="J4" s="820">
        <v>2009</v>
      </c>
      <c r="K4" s="1352"/>
    </row>
    <row r="5" spans="1:12" ht="15" customHeight="1" thickBot="1">
      <c r="A5" s="263"/>
      <c r="B5" s="433" t="s">
        <v>63</v>
      </c>
      <c r="C5" s="494">
        <v>6831630</v>
      </c>
      <c r="D5" s="494">
        <v>6191011</v>
      </c>
      <c r="E5" s="494">
        <v>5951869</v>
      </c>
      <c r="F5" s="494">
        <v>5912952</v>
      </c>
      <c r="G5" s="494">
        <v>5765081</v>
      </c>
      <c r="H5" s="494">
        <v>5450896</v>
      </c>
      <c r="I5" s="494">
        <v>5500546</v>
      </c>
      <c r="J5" s="494">
        <v>5493987</v>
      </c>
      <c r="K5" s="494">
        <v>-6559</v>
      </c>
    </row>
    <row r="6" spans="1:12" ht="15" customHeight="1" thickBot="1">
      <c r="A6" s="263"/>
      <c r="B6" s="805" t="s">
        <v>59</v>
      </c>
      <c r="C6" s="826">
        <v>31473</v>
      </c>
      <c r="D6" s="826">
        <v>27704</v>
      </c>
      <c r="E6" s="826">
        <v>22321</v>
      </c>
      <c r="F6" s="826">
        <v>19441</v>
      </c>
      <c r="G6" s="826">
        <v>16483</v>
      </c>
      <c r="H6" s="826">
        <v>14617</v>
      </c>
      <c r="I6" s="826">
        <v>12885</v>
      </c>
      <c r="J6" s="826">
        <v>12441</v>
      </c>
      <c r="K6" s="826">
        <v>-444</v>
      </c>
      <c r="L6" s="263"/>
    </row>
    <row r="7" spans="1:12" ht="15" customHeight="1" thickBot="1">
      <c r="A7" s="263"/>
      <c r="B7" s="433" t="s">
        <v>60</v>
      </c>
      <c r="C7" s="494">
        <v>7889</v>
      </c>
      <c r="D7" s="494">
        <v>20020</v>
      </c>
      <c r="E7" s="494">
        <v>25952</v>
      </c>
      <c r="F7" s="494">
        <v>31790</v>
      </c>
      <c r="G7" s="494">
        <v>37012</v>
      </c>
      <c r="H7" s="494">
        <v>44535</v>
      </c>
      <c r="I7" s="494">
        <v>44199</v>
      </c>
      <c r="J7" s="494">
        <v>46724</v>
      </c>
      <c r="K7" s="494">
        <v>2525</v>
      </c>
      <c r="L7" s="263"/>
    </row>
    <row r="8" spans="1:12" ht="15" customHeight="1" thickBot="1">
      <c r="A8" s="263"/>
      <c r="B8" s="805" t="s">
        <v>64</v>
      </c>
      <c r="C8" s="826">
        <v>80494</v>
      </c>
      <c r="D8" s="826">
        <v>102754</v>
      </c>
      <c r="E8" s="826">
        <v>109444</v>
      </c>
      <c r="F8" s="826">
        <v>109536</v>
      </c>
      <c r="G8" s="826">
        <v>115014</v>
      </c>
      <c r="H8" s="826">
        <v>120712</v>
      </c>
      <c r="I8" s="826">
        <v>120986</v>
      </c>
      <c r="J8" s="826">
        <v>137270</v>
      </c>
      <c r="K8" s="826">
        <v>16284</v>
      </c>
      <c r="L8" s="263"/>
    </row>
    <row r="9" spans="1:12" ht="26.25" thickBot="1">
      <c r="A9" s="263"/>
      <c r="B9" s="433" t="s">
        <v>65</v>
      </c>
      <c r="C9" s="494">
        <v>5374980</v>
      </c>
      <c r="D9" s="494">
        <v>4823611</v>
      </c>
      <c r="E9" s="494">
        <v>4778135</v>
      </c>
      <c r="F9" s="494">
        <v>4765567</v>
      </c>
      <c r="G9" s="494">
        <v>4716011</v>
      </c>
      <c r="H9" s="494">
        <v>4521349</v>
      </c>
      <c r="I9" s="494">
        <v>4645091</v>
      </c>
      <c r="J9" s="494">
        <v>4645673</v>
      </c>
      <c r="K9" s="494">
        <v>582</v>
      </c>
      <c r="L9" s="263"/>
    </row>
    <row r="10" spans="1:12" ht="15" customHeight="1" thickBot="1">
      <c r="A10" s="263"/>
      <c r="B10" s="805" t="s">
        <v>66</v>
      </c>
      <c r="C10" s="826">
        <v>21659</v>
      </c>
      <c r="D10" s="826">
        <v>36057</v>
      </c>
      <c r="E10" s="826">
        <v>39947</v>
      </c>
      <c r="F10" s="826">
        <v>40599</v>
      </c>
      <c r="G10" s="826">
        <v>37987</v>
      </c>
      <c r="H10" s="826">
        <v>36580</v>
      </c>
      <c r="I10" s="826">
        <v>35887</v>
      </c>
      <c r="J10" s="826">
        <v>38967</v>
      </c>
      <c r="K10" s="826">
        <v>3080</v>
      </c>
      <c r="L10" s="263"/>
    </row>
    <row r="11" spans="1:12">
      <c r="A11" s="263"/>
      <c r="B11" s="1350" t="s">
        <v>621</v>
      </c>
      <c r="C11" s="1350"/>
      <c r="D11" s="1350"/>
      <c r="E11" s="1350"/>
      <c r="F11" s="1350"/>
      <c r="G11" s="1350"/>
      <c r="H11" s="1350"/>
      <c r="I11" s="1350"/>
      <c r="J11" s="1350"/>
      <c r="K11" s="1350"/>
      <c r="L11" s="263"/>
    </row>
    <row r="12" spans="1:12">
      <c r="A12" s="263"/>
      <c r="B12" s="1349" t="s">
        <v>333</v>
      </c>
      <c r="C12" s="1349"/>
      <c r="D12" s="1349"/>
      <c r="E12" s="1349"/>
      <c r="F12" s="1349"/>
      <c r="G12" s="1349"/>
      <c r="H12" s="1349"/>
      <c r="I12" s="1349"/>
      <c r="J12" s="1349"/>
      <c r="K12" s="1349"/>
      <c r="L12" s="263"/>
    </row>
    <row r="13" spans="1:12">
      <c r="A13" s="263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263"/>
    </row>
    <row r="16" spans="1:12" ht="15" customHeight="1"/>
    <row r="17" spans="2:2" ht="15" customHeight="1"/>
    <row r="21" spans="2:2">
      <c r="B21" s="237"/>
    </row>
    <row r="28" spans="2:2">
      <c r="B28" s="237"/>
    </row>
    <row r="31" spans="2:2">
      <c r="B31" s="235"/>
    </row>
    <row r="39" spans="2:2">
      <c r="B39" s="235"/>
    </row>
    <row r="46" spans="2:2">
      <c r="B46" s="242"/>
    </row>
  </sheetData>
  <sheetProtection password="CF4C" sheet="1" objects="1" scenarios="1"/>
  <customSheetViews>
    <customSheetView guid="{E9B43C8C-734F-433D-AD37-344F9303B5CC}" showPageBreaks="1" showGridLines="0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1"/>
      <headerFooter alignWithMargins="0"/>
    </customSheetView>
    <customSheetView guid="{9BF398E0-33D8-4E64-94A2-9B7C822C8383}" showPageBreaks="1" showGridLines="0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landscape" r:id="rId2"/>
      <headerFooter alignWithMargins="0"/>
    </customSheetView>
    <customSheetView guid="{6DCFE324-2DF9-4BB0-88BD-A4AD316C7A9E}" showGridLines="0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3"/>
      <headerFooter alignWithMargins="0"/>
    </customSheetView>
    <customSheetView guid="{48A744A8-8180-4A3B-8108-49EF41816969}" showGridLines="0" hiddenRows="1" showRuler="0">
      <selection activeCell="J13" sqref="J13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4"/>
      <headerFooter alignWithMargins="0"/>
    </customSheetView>
    <customSheetView guid="{9E220BD5-A526-40BD-8239-3A0461590922}" showGridLines="0" showRuler="0">
      <selection activeCell="H23" sqref="H23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5"/>
      <headerFooter alignWithMargins="0"/>
    </customSheetView>
  </customSheetViews>
  <mergeCells count="6">
    <mergeCell ref="B12:K12"/>
    <mergeCell ref="B11:K11"/>
    <mergeCell ref="K3:K4"/>
    <mergeCell ref="B3:B4"/>
    <mergeCell ref="B2:K2"/>
    <mergeCell ref="C3:J3"/>
  </mergeCells>
  <phoneticPr fontId="9" type="noConversion"/>
  <printOptions horizontalCentered="1"/>
  <pageMargins left="0.19685039370078741" right="0.19685039370078741" top="0.59055118110236227" bottom="0.59055118110236227" header="0.39370078740157483" footer="0.39370078740157483"/>
  <pageSetup scale="94" orientation="landscape" r:id="rId6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66FF66"/>
  </sheetPr>
  <dimension ref="B1:P67"/>
  <sheetViews>
    <sheetView showGridLines="0" topLeftCell="D7" workbookViewId="0">
      <selection activeCell="Q13" sqref="Q13"/>
    </sheetView>
  </sheetViews>
  <sheetFormatPr baseColWidth="10" defaultRowHeight="12.75"/>
  <cols>
    <col min="1" max="1" width="6.7109375" style="533" customWidth="1"/>
    <col min="2" max="2" width="34.42578125" style="533" bestFit="1" customWidth="1"/>
    <col min="3" max="3" width="9.28515625" style="533" bestFit="1" customWidth="1"/>
    <col min="4" max="13" width="6.7109375" style="533" bestFit="1" customWidth="1"/>
    <col min="14" max="14" width="6.7109375" style="533" customWidth="1"/>
    <col min="15" max="15" width="6.7109375" style="533" bestFit="1" customWidth="1"/>
    <col min="16" max="16" width="6.7109375" style="533" customWidth="1"/>
    <col min="17" max="258" width="11.42578125" style="533"/>
    <col min="259" max="259" width="34.42578125" style="533" bestFit="1" customWidth="1"/>
    <col min="260" max="260" width="10" style="533" customWidth="1"/>
    <col min="261" max="268" width="7.7109375" style="533" customWidth="1"/>
    <col min="269" max="270" width="8.140625" style="533" customWidth="1"/>
    <col min="271" max="271" width="8" style="533" customWidth="1"/>
    <col min="272" max="514" width="11.42578125" style="533"/>
    <col min="515" max="515" width="34.42578125" style="533" bestFit="1" customWidth="1"/>
    <col min="516" max="516" width="10" style="533" customWidth="1"/>
    <col min="517" max="524" width="7.7109375" style="533" customWidth="1"/>
    <col min="525" max="526" width="8.140625" style="533" customWidth="1"/>
    <col min="527" max="527" width="8" style="533" customWidth="1"/>
    <col min="528" max="770" width="11.42578125" style="533"/>
    <col min="771" max="771" width="34.42578125" style="533" bestFit="1" customWidth="1"/>
    <col min="772" max="772" width="10" style="533" customWidth="1"/>
    <col min="773" max="780" width="7.7109375" style="533" customWidth="1"/>
    <col min="781" max="782" width="8.140625" style="533" customWidth="1"/>
    <col min="783" max="783" width="8" style="533" customWidth="1"/>
    <col min="784" max="1026" width="11.42578125" style="533"/>
    <col min="1027" max="1027" width="34.42578125" style="533" bestFit="1" customWidth="1"/>
    <col min="1028" max="1028" width="10" style="533" customWidth="1"/>
    <col min="1029" max="1036" width="7.7109375" style="533" customWidth="1"/>
    <col min="1037" max="1038" width="8.140625" style="533" customWidth="1"/>
    <col min="1039" max="1039" width="8" style="533" customWidth="1"/>
    <col min="1040" max="1282" width="11.42578125" style="533"/>
    <col min="1283" max="1283" width="34.42578125" style="533" bestFit="1" customWidth="1"/>
    <col min="1284" max="1284" width="10" style="533" customWidth="1"/>
    <col min="1285" max="1292" width="7.7109375" style="533" customWidth="1"/>
    <col min="1293" max="1294" width="8.140625" style="533" customWidth="1"/>
    <col min="1295" max="1295" width="8" style="533" customWidth="1"/>
    <col min="1296" max="1538" width="11.42578125" style="533"/>
    <col min="1539" max="1539" width="34.42578125" style="533" bestFit="1" customWidth="1"/>
    <col min="1540" max="1540" width="10" style="533" customWidth="1"/>
    <col min="1541" max="1548" width="7.7109375" style="533" customWidth="1"/>
    <col min="1549" max="1550" width="8.140625" style="533" customWidth="1"/>
    <col min="1551" max="1551" width="8" style="533" customWidth="1"/>
    <col min="1552" max="1794" width="11.42578125" style="533"/>
    <col min="1795" max="1795" width="34.42578125" style="533" bestFit="1" customWidth="1"/>
    <col min="1796" max="1796" width="10" style="533" customWidth="1"/>
    <col min="1797" max="1804" width="7.7109375" style="533" customWidth="1"/>
    <col min="1805" max="1806" width="8.140625" style="533" customWidth="1"/>
    <col min="1807" max="1807" width="8" style="533" customWidth="1"/>
    <col min="1808" max="2050" width="11.42578125" style="533"/>
    <col min="2051" max="2051" width="34.42578125" style="533" bestFit="1" customWidth="1"/>
    <col min="2052" max="2052" width="10" style="533" customWidth="1"/>
    <col min="2053" max="2060" width="7.7109375" style="533" customWidth="1"/>
    <col min="2061" max="2062" width="8.140625" style="533" customWidth="1"/>
    <col min="2063" max="2063" width="8" style="533" customWidth="1"/>
    <col min="2064" max="2306" width="11.42578125" style="533"/>
    <col min="2307" max="2307" width="34.42578125" style="533" bestFit="1" customWidth="1"/>
    <col min="2308" max="2308" width="10" style="533" customWidth="1"/>
    <col min="2309" max="2316" width="7.7109375" style="533" customWidth="1"/>
    <col min="2317" max="2318" width="8.140625" style="533" customWidth="1"/>
    <col min="2319" max="2319" width="8" style="533" customWidth="1"/>
    <col min="2320" max="2562" width="11.42578125" style="533"/>
    <col min="2563" max="2563" width="34.42578125" style="533" bestFit="1" customWidth="1"/>
    <col min="2564" max="2564" width="10" style="533" customWidth="1"/>
    <col min="2565" max="2572" width="7.7109375" style="533" customWidth="1"/>
    <col min="2573" max="2574" width="8.140625" style="533" customWidth="1"/>
    <col min="2575" max="2575" width="8" style="533" customWidth="1"/>
    <col min="2576" max="2818" width="11.42578125" style="533"/>
    <col min="2819" max="2819" width="34.42578125" style="533" bestFit="1" customWidth="1"/>
    <col min="2820" max="2820" width="10" style="533" customWidth="1"/>
    <col min="2821" max="2828" width="7.7109375" style="533" customWidth="1"/>
    <col min="2829" max="2830" width="8.140625" style="533" customWidth="1"/>
    <col min="2831" max="2831" width="8" style="533" customWidth="1"/>
    <col min="2832" max="3074" width="11.42578125" style="533"/>
    <col min="3075" max="3075" width="34.42578125" style="533" bestFit="1" customWidth="1"/>
    <col min="3076" max="3076" width="10" style="533" customWidth="1"/>
    <col min="3077" max="3084" width="7.7109375" style="533" customWidth="1"/>
    <col min="3085" max="3086" width="8.140625" style="533" customWidth="1"/>
    <col min="3087" max="3087" width="8" style="533" customWidth="1"/>
    <col min="3088" max="3330" width="11.42578125" style="533"/>
    <col min="3331" max="3331" width="34.42578125" style="533" bestFit="1" customWidth="1"/>
    <col min="3332" max="3332" width="10" style="533" customWidth="1"/>
    <col min="3333" max="3340" width="7.7109375" style="533" customWidth="1"/>
    <col min="3341" max="3342" width="8.140625" style="533" customWidth="1"/>
    <col min="3343" max="3343" width="8" style="533" customWidth="1"/>
    <col min="3344" max="3586" width="11.42578125" style="533"/>
    <col min="3587" max="3587" width="34.42578125" style="533" bestFit="1" customWidth="1"/>
    <col min="3588" max="3588" width="10" style="533" customWidth="1"/>
    <col min="3589" max="3596" width="7.7109375" style="533" customWidth="1"/>
    <col min="3597" max="3598" width="8.140625" style="533" customWidth="1"/>
    <col min="3599" max="3599" width="8" style="533" customWidth="1"/>
    <col min="3600" max="3842" width="11.42578125" style="533"/>
    <col min="3843" max="3843" width="34.42578125" style="533" bestFit="1" customWidth="1"/>
    <col min="3844" max="3844" width="10" style="533" customWidth="1"/>
    <col min="3845" max="3852" width="7.7109375" style="533" customWidth="1"/>
    <col min="3853" max="3854" width="8.140625" style="533" customWidth="1"/>
    <col min="3855" max="3855" width="8" style="533" customWidth="1"/>
    <col min="3856" max="4098" width="11.42578125" style="533"/>
    <col min="4099" max="4099" width="34.42578125" style="533" bestFit="1" customWidth="1"/>
    <col min="4100" max="4100" width="10" style="533" customWidth="1"/>
    <col min="4101" max="4108" width="7.7109375" style="533" customWidth="1"/>
    <col min="4109" max="4110" width="8.140625" style="533" customWidth="1"/>
    <col min="4111" max="4111" width="8" style="533" customWidth="1"/>
    <col min="4112" max="4354" width="11.42578125" style="533"/>
    <col min="4355" max="4355" width="34.42578125" style="533" bestFit="1" customWidth="1"/>
    <col min="4356" max="4356" width="10" style="533" customWidth="1"/>
    <col min="4357" max="4364" width="7.7109375" style="533" customWidth="1"/>
    <col min="4365" max="4366" width="8.140625" style="533" customWidth="1"/>
    <col min="4367" max="4367" width="8" style="533" customWidth="1"/>
    <col min="4368" max="4610" width="11.42578125" style="533"/>
    <col min="4611" max="4611" width="34.42578125" style="533" bestFit="1" customWidth="1"/>
    <col min="4612" max="4612" width="10" style="533" customWidth="1"/>
    <col min="4613" max="4620" width="7.7109375" style="533" customWidth="1"/>
    <col min="4621" max="4622" width="8.140625" style="533" customWidth="1"/>
    <col min="4623" max="4623" width="8" style="533" customWidth="1"/>
    <col min="4624" max="4866" width="11.42578125" style="533"/>
    <col min="4867" max="4867" width="34.42578125" style="533" bestFit="1" customWidth="1"/>
    <col min="4868" max="4868" width="10" style="533" customWidth="1"/>
    <col min="4869" max="4876" width="7.7109375" style="533" customWidth="1"/>
    <col min="4877" max="4878" width="8.140625" style="533" customWidth="1"/>
    <col min="4879" max="4879" width="8" style="533" customWidth="1"/>
    <col min="4880" max="5122" width="11.42578125" style="533"/>
    <col min="5123" max="5123" width="34.42578125" style="533" bestFit="1" customWidth="1"/>
    <col min="5124" max="5124" width="10" style="533" customWidth="1"/>
    <col min="5125" max="5132" width="7.7109375" style="533" customWidth="1"/>
    <col min="5133" max="5134" width="8.140625" style="533" customWidth="1"/>
    <col min="5135" max="5135" width="8" style="533" customWidth="1"/>
    <col min="5136" max="5378" width="11.42578125" style="533"/>
    <col min="5379" max="5379" width="34.42578125" style="533" bestFit="1" customWidth="1"/>
    <col min="5380" max="5380" width="10" style="533" customWidth="1"/>
    <col min="5381" max="5388" width="7.7109375" style="533" customWidth="1"/>
    <col min="5389" max="5390" width="8.140625" style="533" customWidth="1"/>
    <col min="5391" max="5391" width="8" style="533" customWidth="1"/>
    <col min="5392" max="5634" width="11.42578125" style="533"/>
    <col min="5635" max="5635" width="34.42578125" style="533" bestFit="1" customWidth="1"/>
    <col min="5636" max="5636" width="10" style="533" customWidth="1"/>
    <col min="5637" max="5644" width="7.7109375" style="533" customWidth="1"/>
    <col min="5645" max="5646" width="8.140625" style="533" customWidth="1"/>
    <col min="5647" max="5647" width="8" style="533" customWidth="1"/>
    <col min="5648" max="5890" width="11.42578125" style="533"/>
    <col min="5891" max="5891" width="34.42578125" style="533" bestFit="1" customWidth="1"/>
    <col min="5892" max="5892" width="10" style="533" customWidth="1"/>
    <col min="5893" max="5900" width="7.7109375" style="533" customWidth="1"/>
    <col min="5901" max="5902" width="8.140625" style="533" customWidth="1"/>
    <col min="5903" max="5903" width="8" style="533" customWidth="1"/>
    <col min="5904" max="6146" width="11.42578125" style="533"/>
    <col min="6147" max="6147" width="34.42578125" style="533" bestFit="1" customWidth="1"/>
    <col min="6148" max="6148" width="10" style="533" customWidth="1"/>
    <col min="6149" max="6156" width="7.7109375" style="533" customWidth="1"/>
    <col min="6157" max="6158" width="8.140625" style="533" customWidth="1"/>
    <col min="6159" max="6159" width="8" style="533" customWidth="1"/>
    <col min="6160" max="6402" width="11.42578125" style="533"/>
    <col min="6403" max="6403" width="34.42578125" style="533" bestFit="1" customWidth="1"/>
    <col min="6404" max="6404" width="10" style="533" customWidth="1"/>
    <col min="6405" max="6412" width="7.7109375" style="533" customWidth="1"/>
    <col min="6413" max="6414" width="8.140625" style="533" customWidth="1"/>
    <col min="6415" max="6415" width="8" style="533" customWidth="1"/>
    <col min="6416" max="6658" width="11.42578125" style="533"/>
    <col min="6659" max="6659" width="34.42578125" style="533" bestFit="1" customWidth="1"/>
    <col min="6660" max="6660" width="10" style="533" customWidth="1"/>
    <col min="6661" max="6668" width="7.7109375" style="533" customWidth="1"/>
    <col min="6669" max="6670" width="8.140625" style="533" customWidth="1"/>
    <col min="6671" max="6671" width="8" style="533" customWidth="1"/>
    <col min="6672" max="6914" width="11.42578125" style="533"/>
    <col min="6915" max="6915" width="34.42578125" style="533" bestFit="1" customWidth="1"/>
    <col min="6916" max="6916" width="10" style="533" customWidth="1"/>
    <col min="6917" max="6924" width="7.7109375" style="533" customWidth="1"/>
    <col min="6925" max="6926" width="8.140625" style="533" customWidth="1"/>
    <col min="6927" max="6927" width="8" style="533" customWidth="1"/>
    <col min="6928" max="7170" width="11.42578125" style="533"/>
    <col min="7171" max="7171" width="34.42578125" style="533" bestFit="1" customWidth="1"/>
    <col min="7172" max="7172" width="10" style="533" customWidth="1"/>
    <col min="7173" max="7180" width="7.7109375" style="533" customWidth="1"/>
    <col min="7181" max="7182" width="8.140625" style="533" customWidth="1"/>
    <col min="7183" max="7183" width="8" style="533" customWidth="1"/>
    <col min="7184" max="7426" width="11.42578125" style="533"/>
    <col min="7427" max="7427" width="34.42578125" style="533" bestFit="1" customWidth="1"/>
    <col min="7428" max="7428" width="10" style="533" customWidth="1"/>
    <col min="7429" max="7436" width="7.7109375" style="533" customWidth="1"/>
    <col min="7437" max="7438" width="8.140625" style="533" customWidth="1"/>
    <col min="7439" max="7439" width="8" style="533" customWidth="1"/>
    <col min="7440" max="7682" width="11.42578125" style="533"/>
    <col min="7683" max="7683" width="34.42578125" style="533" bestFit="1" customWidth="1"/>
    <col min="7684" max="7684" width="10" style="533" customWidth="1"/>
    <col min="7685" max="7692" width="7.7109375" style="533" customWidth="1"/>
    <col min="7693" max="7694" width="8.140625" style="533" customWidth="1"/>
    <col min="7695" max="7695" width="8" style="533" customWidth="1"/>
    <col min="7696" max="7938" width="11.42578125" style="533"/>
    <col min="7939" max="7939" width="34.42578125" style="533" bestFit="1" customWidth="1"/>
    <col min="7940" max="7940" width="10" style="533" customWidth="1"/>
    <col min="7941" max="7948" width="7.7109375" style="533" customWidth="1"/>
    <col min="7949" max="7950" width="8.140625" style="533" customWidth="1"/>
    <col min="7951" max="7951" width="8" style="533" customWidth="1"/>
    <col min="7952" max="8194" width="11.42578125" style="533"/>
    <col min="8195" max="8195" width="34.42578125" style="533" bestFit="1" customWidth="1"/>
    <col min="8196" max="8196" width="10" style="533" customWidth="1"/>
    <col min="8197" max="8204" width="7.7109375" style="533" customWidth="1"/>
    <col min="8205" max="8206" width="8.140625" style="533" customWidth="1"/>
    <col min="8207" max="8207" width="8" style="533" customWidth="1"/>
    <col min="8208" max="8450" width="11.42578125" style="533"/>
    <col min="8451" max="8451" width="34.42578125" style="533" bestFit="1" customWidth="1"/>
    <col min="8452" max="8452" width="10" style="533" customWidth="1"/>
    <col min="8453" max="8460" width="7.7109375" style="533" customWidth="1"/>
    <col min="8461" max="8462" width="8.140625" style="533" customWidth="1"/>
    <col min="8463" max="8463" width="8" style="533" customWidth="1"/>
    <col min="8464" max="8706" width="11.42578125" style="533"/>
    <col min="8707" max="8707" width="34.42578125" style="533" bestFit="1" customWidth="1"/>
    <col min="8708" max="8708" width="10" style="533" customWidth="1"/>
    <col min="8709" max="8716" width="7.7109375" style="533" customWidth="1"/>
    <col min="8717" max="8718" width="8.140625" style="533" customWidth="1"/>
    <col min="8719" max="8719" width="8" style="533" customWidth="1"/>
    <col min="8720" max="8962" width="11.42578125" style="533"/>
    <col min="8963" max="8963" width="34.42578125" style="533" bestFit="1" customWidth="1"/>
    <col min="8964" max="8964" width="10" style="533" customWidth="1"/>
    <col min="8965" max="8972" width="7.7109375" style="533" customWidth="1"/>
    <col min="8973" max="8974" width="8.140625" style="533" customWidth="1"/>
    <col min="8975" max="8975" width="8" style="533" customWidth="1"/>
    <col min="8976" max="9218" width="11.42578125" style="533"/>
    <col min="9219" max="9219" width="34.42578125" style="533" bestFit="1" customWidth="1"/>
    <col min="9220" max="9220" width="10" style="533" customWidth="1"/>
    <col min="9221" max="9228" width="7.7109375" style="533" customWidth="1"/>
    <col min="9229" max="9230" width="8.140625" style="533" customWidth="1"/>
    <col min="9231" max="9231" width="8" style="533" customWidth="1"/>
    <col min="9232" max="9474" width="11.42578125" style="533"/>
    <col min="9475" max="9475" width="34.42578125" style="533" bestFit="1" customWidth="1"/>
    <col min="9476" max="9476" width="10" style="533" customWidth="1"/>
    <col min="9477" max="9484" width="7.7109375" style="533" customWidth="1"/>
    <col min="9485" max="9486" width="8.140625" style="533" customWidth="1"/>
    <col min="9487" max="9487" width="8" style="533" customWidth="1"/>
    <col min="9488" max="9730" width="11.42578125" style="533"/>
    <col min="9731" max="9731" width="34.42578125" style="533" bestFit="1" customWidth="1"/>
    <col min="9732" max="9732" width="10" style="533" customWidth="1"/>
    <col min="9733" max="9740" width="7.7109375" style="533" customWidth="1"/>
    <col min="9741" max="9742" width="8.140625" style="533" customWidth="1"/>
    <col min="9743" max="9743" width="8" style="533" customWidth="1"/>
    <col min="9744" max="9986" width="11.42578125" style="533"/>
    <col min="9987" max="9987" width="34.42578125" style="533" bestFit="1" customWidth="1"/>
    <col min="9988" max="9988" width="10" style="533" customWidth="1"/>
    <col min="9989" max="9996" width="7.7109375" style="533" customWidth="1"/>
    <col min="9997" max="9998" width="8.140625" style="533" customWidth="1"/>
    <col min="9999" max="9999" width="8" style="533" customWidth="1"/>
    <col min="10000" max="10242" width="11.42578125" style="533"/>
    <col min="10243" max="10243" width="34.42578125" style="533" bestFit="1" customWidth="1"/>
    <col min="10244" max="10244" width="10" style="533" customWidth="1"/>
    <col min="10245" max="10252" width="7.7109375" style="533" customWidth="1"/>
    <col min="10253" max="10254" width="8.140625" style="533" customWidth="1"/>
    <col min="10255" max="10255" width="8" style="533" customWidth="1"/>
    <col min="10256" max="10498" width="11.42578125" style="533"/>
    <col min="10499" max="10499" width="34.42578125" style="533" bestFit="1" customWidth="1"/>
    <col min="10500" max="10500" width="10" style="533" customWidth="1"/>
    <col min="10501" max="10508" width="7.7109375" style="533" customWidth="1"/>
    <col min="10509" max="10510" width="8.140625" style="533" customWidth="1"/>
    <col min="10511" max="10511" width="8" style="533" customWidth="1"/>
    <col min="10512" max="10754" width="11.42578125" style="533"/>
    <col min="10755" max="10755" width="34.42578125" style="533" bestFit="1" customWidth="1"/>
    <col min="10756" max="10756" width="10" style="533" customWidth="1"/>
    <col min="10757" max="10764" width="7.7109375" style="533" customWidth="1"/>
    <col min="10765" max="10766" width="8.140625" style="533" customWidth="1"/>
    <col min="10767" max="10767" width="8" style="533" customWidth="1"/>
    <col min="10768" max="11010" width="11.42578125" style="533"/>
    <col min="11011" max="11011" width="34.42578125" style="533" bestFit="1" customWidth="1"/>
    <col min="11012" max="11012" width="10" style="533" customWidth="1"/>
    <col min="11013" max="11020" width="7.7109375" style="533" customWidth="1"/>
    <col min="11021" max="11022" width="8.140625" style="533" customWidth="1"/>
    <col min="11023" max="11023" width="8" style="533" customWidth="1"/>
    <col min="11024" max="11266" width="11.42578125" style="533"/>
    <col min="11267" max="11267" width="34.42578125" style="533" bestFit="1" customWidth="1"/>
    <col min="11268" max="11268" width="10" style="533" customWidth="1"/>
    <col min="11269" max="11276" width="7.7109375" style="533" customWidth="1"/>
    <col min="11277" max="11278" width="8.140625" style="533" customWidth="1"/>
    <col min="11279" max="11279" width="8" style="533" customWidth="1"/>
    <col min="11280" max="11522" width="11.42578125" style="533"/>
    <col min="11523" max="11523" width="34.42578125" style="533" bestFit="1" customWidth="1"/>
    <col min="11524" max="11524" width="10" style="533" customWidth="1"/>
    <col min="11525" max="11532" width="7.7109375" style="533" customWidth="1"/>
    <col min="11533" max="11534" width="8.140625" style="533" customWidth="1"/>
    <col min="11535" max="11535" width="8" style="533" customWidth="1"/>
    <col min="11536" max="11778" width="11.42578125" style="533"/>
    <col min="11779" max="11779" width="34.42578125" style="533" bestFit="1" customWidth="1"/>
    <col min="11780" max="11780" width="10" style="533" customWidth="1"/>
    <col min="11781" max="11788" width="7.7109375" style="533" customWidth="1"/>
    <col min="11789" max="11790" width="8.140625" style="533" customWidth="1"/>
    <col min="11791" max="11791" width="8" style="533" customWidth="1"/>
    <col min="11792" max="12034" width="11.42578125" style="533"/>
    <col min="12035" max="12035" width="34.42578125" style="533" bestFit="1" customWidth="1"/>
    <col min="12036" max="12036" width="10" style="533" customWidth="1"/>
    <col min="12037" max="12044" width="7.7109375" style="533" customWidth="1"/>
    <col min="12045" max="12046" width="8.140625" style="533" customWidth="1"/>
    <col min="12047" max="12047" width="8" style="533" customWidth="1"/>
    <col min="12048" max="12290" width="11.42578125" style="533"/>
    <col min="12291" max="12291" width="34.42578125" style="533" bestFit="1" customWidth="1"/>
    <col min="12292" max="12292" width="10" style="533" customWidth="1"/>
    <col min="12293" max="12300" width="7.7109375" style="533" customWidth="1"/>
    <col min="12301" max="12302" width="8.140625" style="533" customWidth="1"/>
    <col min="12303" max="12303" width="8" style="533" customWidth="1"/>
    <col min="12304" max="12546" width="11.42578125" style="533"/>
    <col min="12547" max="12547" width="34.42578125" style="533" bestFit="1" customWidth="1"/>
    <col min="12548" max="12548" width="10" style="533" customWidth="1"/>
    <col min="12549" max="12556" width="7.7109375" style="533" customWidth="1"/>
    <col min="12557" max="12558" width="8.140625" style="533" customWidth="1"/>
    <col min="12559" max="12559" width="8" style="533" customWidth="1"/>
    <col min="12560" max="12802" width="11.42578125" style="533"/>
    <col min="12803" max="12803" width="34.42578125" style="533" bestFit="1" customWidth="1"/>
    <col min="12804" max="12804" width="10" style="533" customWidth="1"/>
    <col min="12805" max="12812" width="7.7109375" style="533" customWidth="1"/>
    <col min="12813" max="12814" width="8.140625" style="533" customWidth="1"/>
    <col min="12815" max="12815" width="8" style="533" customWidth="1"/>
    <col min="12816" max="13058" width="11.42578125" style="533"/>
    <col min="13059" max="13059" width="34.42578125" style="533" bestFit="1" customWidth="1"/>
    <col min="13060" max="13060" width="10" style="533" customWidth="1"/>
    <col min="13061" max="13068" width="7.7109375" style="533" customWidth="1"/>
    <col min="13069" max="13070" width="8.140625" style="533" customWidth="1"/>
    <col min="13071" max="13071" width="8" style="533" customWidth="1"/>
    <col min="13072" max="13314" width="11.42578125" style="533"/>
    <col min="13315" max="13315" width="34.42578125" style="533" bestFit="1" customWidth="1"/>
    <col min="13316" max="13316" width="10" style="533" customWidth="1"/>
    <col min="13317" max="13324" width="7.7109375" style="533" customWidth="1"/>
    <col min="13325" max="13326" width="8.140625" style="533" customWidth="1"/>
    <col min="13327" max="13327" width="8" style="533" customWidth="1"/>
    <col min="13328" max="13570" width="11.42578125" style="533"/>
    <col min="13571" max="13571" width="34.42578125" style="533" bestFit="1" customWidth="1"/>
    <col min="13572" max="13572" width="10" style="533" customWidth="1"/>
    <col min="13573" max="13580" width="7.7109375" style="533" customWidth="1"/>
    <col min="13581" max="13582" width="8.140625" style="533" customWidth="1"/>
    <col min="13583" max="13583" width="8" style="533" customWidth="1"/>
    <col min="13584" max="13826" width="11.42578125" style="533"/>
    <col min="13827" max="13827" width="34.42578125" style="533" bestFit="1" customWidth="1"/>
    <col min="13828" max="13828" width="10" style="533" customWidth="1"/>
    <col min="13829" max="13836" width="7.7109375" style="533" customWidth="1"/>
    <col min="13837" max="13838" width="8.140625" style="533" customWidth="1"/>
    <col min="13839" max="13839" width="8" style="533" customWidth="1"/>
    <col min="13840" max="14082" width="11.42578125" style="533"/>
    <col min="14083" max="14083" width="34.42578125" style="533" bestFit="1" customWidth="1"/>
    <col min="14084" max="14084" width="10" style="533" customWidth="1"/>
    <col min="14085" max="14092" width="7.7109375" style="533" customWidth="1"/>
    <col min="14093" max="14094" width="8.140625" style="533" customWidth="1"/>
    <col min="14095" max="14095" width="8" style="533" customWidth="1"/>
    <col min="14096" max="14338" width="11.42578125" style="533"/>
    <col min="14339" max="14339" width="34.42578125" style="533" bestFit="1" customWidth="1"/>
    <col min="14340" max="14340" width="10" style="533" customWidth="1"/>
    <col min="14341" max="14348" width="7.7109375" style="533" customWidth="1"/>
    <col min="14349" max="14350" width="8.140625" style="533" customWidth="1"/>
    <col min="14351" max="14351" width="8" style="533" customWidth="1"/>
    <col min="14352" max="14594" width="11.42578125" style="533"/>
    <col min="14595" max="14595" width="34.42578125" style="533" bestFit="1" customWidth="1"/>
    <col min="14596" max="14596" width="10" style="533" customWidth="1"/>
    <col min="14597" max="14604" width="7.7109375" style="533" customWidth="1"/>
    <col min="14605" max="14606" width="8.140625" style="533" customWidth="1"/>
    <col min="14607" max="14607" width="8" style="533" customWidth="1"/>
    <col min="14608" max="14850" width="11.42578125" style="533"/>
    <col min="14851" max="14851" width="34.42578125" style="533" bestFit="1" customWidth="1"/>
    <col min="14852" max="14852" width="10" style="533" customWidth="1"/>
    <col min="14853" max="14860" width="7.7109375" style="533" customWidth="1"/>
    <col min="14861" max="14862" width="8.140625" style="533" customWidth="1"/>
    <col min="14863" max="14863" width="8" style="533" customWidth="1"/>
    <col min="14864" max="15106" width="11.42578125" style="533"/>
    <col min="15107" max="15107" width="34.42578125" style="533" bestFit="1" customWidth="1"/>
    <col min="15108" max="15108" width="10" style="533" customWidth="1"/>
    <col min="15109" max="15116" width="7.7109375" style="533" customWidth="1"/>
    <col min="15117" max="15118" width="8.140625" style="533" customWidth="1"/>
    <col min="15119" max="15119" width="8" style="533" customWidth="1"/>
    <col min="15120" max="15362" width="11.42578125" style="533"/>
    <col min="15363" max="15363" width="34.42578125" style="533" bestFit="1" customWidth="1"/>
    <col min="15364" max="15364" width="10" style="533" customWidth="1"/>
    <col min="15365" max="15372" width="7.7109375" style="533" customWidth="1"/>
    <col min="15373" max="15374" width="8.140625" style="533" customWidth="1"/>
    <col min="15375" max="15375" width="8" style="533" customWidth="1"/>
    <col min="15376" max="15618" width="11.42578125" style="533"/>
    <col min="15619" max="15619" width="34.42578125" style="533" bestFit="1" customWidth="1"/>
    <col min="15620" max="15620" width="10" style="533" customWidth="1"/>
    <col min="15621" max="15628" width="7.7109375" style="533" customWidth="1"/>
    <col min="15629" max="15630" width="8.140625" style="533" customWidth="1"/>
    <col min="15631" max="15631" width="8" style="533" customWidth="1"/>
    <col min="15632" max="15874" width="11.42578125" style="533"/>
    <col min="15875" max="15875" width="34.42578125" style="533" bestFit="1" customWidth="1"/>
    <col min="15876" max="15876" width="10" style="533" customWidth="1"/>
    <col min="15877" max="15884" width="7.7109375" style="533" customWidth="1"/>
    <col min="15885" max="15886" width="8.140625" style="533" customWidth="1"/>
    <col min="15887" max="15887" width="8" style="533" customWidth="1"/>
    <col min="15888" max="16130" width="11.42578125" style="533"/>
    <col min="16131" max="16131" width="34.42578125" style="533" bestFit="1" customWidth="1"/>
    <col min="16132" max="16132" width="10" style="533" customWidth="1"/>
    <col min="16133" max="16140" width="7.7109375" style="533" customWidth="1"/>
    <col min="16141" max="16142" width="8.140625" style="533" customWidth="1"/>
    <col min="16143" max="16143" width="8" style="533" customWidth="1"/>
    <col min="16144" max="16384" width="11.42578125" style="533"/>
  </cols>
  <sheetData>
    <row r="1" spans="2:16" s="612" customFormat="1"/>
    <row r="2" spans="2:16" s="1029" customFormat="1" ht="2.25" customHeight="1">
      <c r="B2" s="1027" t="s">
        <v>256</v>
      </c>
      <c r="C2" s="1028">
        <v>1997</v>
      </c>
      <c r="D2" s="1028">
        <v>1998</v>
      </c>
      <c r="E2" s="1028">
        <v>1999</v>
      </c>
      <c r="F2" s="1028">
        <v>2000</v>
      </c>
      <c r="G2" s="1028">
        <v>2001</v>
      </c>
      <c r="H2" s="1028">
        <v>2002</v>
      </c>
      <c r="I2" s="1027">
        <v>2003</v>
      </c>
      <c r="J2" s="1027">
        <v>2004</v>
      </c>
      <c r="K2" s="1027">
        <v>2005</v>
      </c>
      <c r="L2" s="1027">
        <v>2006</v>
      </c>
      <c r="M2" s="1027">
        <v>2007</v>
      </c>
      <c r="N2" s="1027">
        <v>2008</v>
      </c>
      <c r="O2" s="1027">
        <v>2009</v>
      </c>
    </row>
    <row r="3" spans="2:16" s="1029" customFormat="1" ht="2.25" customHeight="1">
      <c r="B3" s="1030" t="s">
        <v>257</v>
      </c>
      <c r="C3" s="1031">
        <v>94.9</v>
      </c>
      <c r="D3" s="1031">
        <v>93.4</v>
      </c>
      <c r="E3" s="1031">
        <v>92.7</v>
      </c>
      <c r="F3" s="1031">
        <v>94.3</v>
      </c>
      <c r="G3" s="1031">
        <v>95.8</v>
      </c>
      <c r="H3" s="1031">
        <v>94.6</v>
      </c>
      <c r="I3" s="1032">
        <v>95.4</v>
      </c>
      <c r="J3" s="1032">
        <v>95.9</v>
      </c>
      <c r="K3" s="1032">
        <v>95.9</v>
      </c>
      <c r="L3" s="1032">
        <v>96</v>
      </c>
      <c r="M3" s="1032">
        <v>96.2</v>
      </c>
      <c r="N3" s="1032">
        <v>96.7</v>
      </c>
      <c r="O3" s="1032">
        <v>97.1</v>
      </c>
    </row>
    <row r="4" spans="2:16" s="1029" customFormat="1" ht="2.25" customHeight="1">
      <c r="B4" s="1030" t="s">
        <v>258</v>
      </c>
      <c r="C4" s="1031">
        <v>79.650000000000006</v>
      </c>
      <c r="D4" s="1031">
        <v>78.91</v>
      </c>
      <c r="E4" s="1031">
        <v>78.81</v>
      </c>
      <c r="F4" s="1031">
        <v>80.53</v>
      </c>
      <c r="G4" s="1031">
        <v>81.819999999999993</v>
      </c>
      <c r="H4" s="1031">
        <v>82.56</v>
      </c>
      <c r="I4" s="1032">
        <v>86.47</v>
      </c>
      <c r="J4" s="1032">
        <v>89.02</v>
      </c>
      <c r="K4" s="1032">
        <v>90.19</v>
      </c>
      <c r="L4" s="1032">
        <v>91.2</v>
      </c>
      <c r="M4" s="1032">
        <v>91.2</v>
      </c>
      <c r="N4" s="1032">
        <v>92.1</v>
      </c>
      <c r="O4" s="1032">
        <v>90.7</v>
      </c>
    </row>
    <row r="5" spans="2:16" s="1029" customFormat="1" ht="2.25" customHeight="1">
      <c r="B5" s="1032" t="s">
        <v>63</v>
      </c>
      <c r="C5" s="1032"/>
      <c r="D5" s="1032"/>
      <c r="E5" s="1032"/>
      <c r="F5" s="1032">
        <v>6.8910580000000001</v>
      </c>
      <c r="G5" s="1032">
        <v>6.908455</v>
      </c>
      <c r="H5" s="1032">
        <v>6.8316299999999996</v>
      </c>
      <c r="I5" s="1032">
        <v>6.1910109999999996</v>
      </c>
      <c r="J5" s="1032">
        <v>5.9518690000000003</v>
      </c>
      <c r="K5" s="1032">
        <v>5.9129519999999998</v>
      </c>
      <c r="L5" s="1032">
        <v>5.76</v>
      </c>
      <c r="M5" s="1032">
        <v>5.53</v>
      </c>
      <c r="N5" s="1032">
        <v>5.48</v>
      </c>
      <c r="O5" s="1032">
        <v>5.4939869999999997</v>
      </c>
    </row>
    <row r="6" spans="2:16" s="612" customFormat="1"/>
    <row r="7" spans="2:16" s="973" customFormat="1" ht="15"/>
    <row r="8" spans="2:16" s="973" customFormat="1" ht="39" customHeight="1">
      <c r="B8" s="1353" t="s">
        <v>622</v>
      </c>
      <c r="C8" s="1353"/>
      <c r="D8" s="1353"/>
      <c r="E8" s="1353"/>
      <c r="F8" s="1353"/>
      <c r="G8" s="1353"/>
      <c r="H8" s="1353"/>
      <c r="I8" s="1353"/>
      <c r="J8" s="1353"/>
      <c r="K8" s="1353"/>
      <c r="L8" s="1353"/>
      <c r="M8" s="1353"/>
      <c r="N8" s="1353"/>
      <c r="O8" s="1353"/>
    </row>
    <row r="9" spans="2:16" s="973" customFormat="1" ht="15"/>
    <row r="14" spans="2:16">
      <c r="P14" s="974"/>
    </row>
    <row r="39" spans="2:14">
      <c r="B39" s="1349" t="s">
        <v>585</v>
      </c>
      <c r="C39" s="1349"/>
      <c r="D39" s="1349"/>
      <c r="E39" s="1349"/>
      <c r="F39" s="1349"/>
      <c r="G39" s="1349"/>
      <c r="H39" s="1349"/>
      <c r="I39" s="1349"/>
      <c r="J39" s="1349"/>
    </row>
    <row r="43" spans="2:14" s="1052" customFormat="1" ht="2.25" customHeight="1">
      <c r="B43" s="1053" t="s">
        <v>586</v>
      </c>
      <c r="C43" s="1053">
        <v>2356</v>
      </c>
      <c r="D43" s="1053">
        <v>71</v>
      </c>
      <c r="E43" s="1053">
        <v>9</v>
      </c>
      <c r="F43" s="1054">
        <v>5</v>
      </c>
      <c r="G43" s="1054">
        <v>1</v>
      </c>
      <c r="H43" s="1054">
        <v>0</v>
      </c>
      <c r="I43" s="1054">
        <v>0</v>
      </c>
      <c r="J43" s="1054">
        <v>0</v>
      </c>
      <c r="K43" s="1054">
        <v>0</v>
      </c>
      <c r="L43" s="1054">
        <v>0</v>
      </c>
      <c r="M43" s="1054"/>
      <c r="N43" s="1054"/>
    </row>
    <row r="44" spans="2:14" s="1052" customFormat="1" ht="2.25" customHeight="1"/>
    <row r="45" spans="2:14" s="1052" customFormat="1" ht="2.25" customHeight="1"/>
    <row r="46" spans="2:14" s="1052" customFormat="1" ht="2.25" customHeight="1"/>
    <row r="47" spans="2:14" s="1052" customFormat="1" ht="2.25" customHeight="1"/>
    <row r="48" spans="2:14" s="1052" customFormat="1" ht="2.25" customHeight="1"/>
    <row r="49" s="1052" customFormat="1" ht="2.25" customHeight="1"/>
    <row r="50" s="1052" customFormat="1" ht="2.25" customHeight="1"/>
    <row r="51" s="1052" customFormat="1" ht="2.25" customHeight="1"/>
    <row r="52" s="1052" customFormat="1" ht="2.25" customHeight="1"/>
    <row r="53" s="1052" customFormat="1" ht="2.25" customHeight="1"/>
    <row r="54" s="1052" customFormat="1" ht="2.25" customHeight="1"/>
    <row r="55" s="1052" customFormat="1" ht="2.25" customHeight="1"/>
    <row r="56" s="1052" customFormat="1" ht="2.25" customHeight="1"/>
    <row r="57" s="1052" customFormat="1" ht="2.25" customHeight="1"/>
    <row r="58" s="1052" customFormat="1" ht="2.25" customHeight="1"/>
    <row r="59" s="1052" customFormat="1" ht="2.25" customHeight="1"/>
    <row r="60" s="1052" customFormat="1" ht="2.25" customHeight="1"/>
    <row r="61" s="1052" customFormat="1" ht="2.25" customHeight="1"/>
    <row r="62" s="1052" customFormat="1" ht="2.25" customHeight="1"/>
    <row r="63" s="1052" customFormat="1" ht="2.25" customHeight="1"/>
    <row r="64" s="1052" customFormat="1" ht="2.25" customHeight="1"/>
    <row r="65" s="1052" customFormat="1" ht="2.25" customHeight="1"/>
    <row r="66" s="1052" customFormat="1" ht="2.25" customHeight="1"/>
    <row r="67" s="1052" customFormat="1" ht="2.25" customHeight="1"/>
  </sheetData>
  <sheetProtection password="CF4C" sheet="1" objects="1" scenarios="1" formatCells="0" formatColumns="0" formatRows="0" deleteColumns="0" deleteRows="0"/>
  <mergeCells count="2">
    <mergeCell ref="B8:O8"/>
    <mergeCell ref="B39:J39"/>
  </mergeCells>
  <printOptions horizontalCentered="1"/>
  <pageMargins left="0.39370078740157483" right="0.39370078740157483" top="0.59055118110236227" bottom="0.59055118110236227" header="0.39370078740157483" footer="0.39370078740157483"/>
  <pageSetup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31"/>
  <sheetViews>
    <sheetView showGridLines="0" workbookViewId="0">
      <selection activeCell="K12" sqref="K12"/>
    </sheetView>
  </sheetViews>
  <sheetFormatPr baseColWidth="10" defaultRowHeight="15"/>
  <cols>
    <col min="1" max="1" width="2.7109375" style="347" customWidth="1"/>
    <col min="2" max="2" width="30.7109375" style="347" customWidth="1"/>
    <col min="3" max="8" width="6.85546875" style="347" bestFit="1" customWidth="1"/>
    <col min="9" max="12" width="10.7109375" style="347" bestFit="1" customWidth="1"/>
    <col min="13" max="13" width="6.5703125" style="347" bestFit="1" customWidth="1"/>
    <col min="14" max="14" width="2.7109375" style="347" customWidth="1"/>
    <col min="15" max="15" width="11.5703125" style="347" bestFit="1" customWidth="1"/>
    <col min="16" max="16384" width="11.42578125" style="347"/>
  </cols>
  <sheetData>
    <row r="1" spans="2:15" ht="15.75" thickBot="1"/>
    <row r="2" spans="2:15" ht="15.75" thickTop="1">
      <c r="B2" s="348" t="s">
        <v>256</v>
      </c>
      <c r="C2" s="349">
        <v>1997</v>
      </c>
      <c r="D2" s="349">
        <v>1998</v>
      </c>
      <c r="E2" s="349">
        <v>1999</v>
      </c>
      <c r="F2" s="349">
        <v>2000</v>
      </c>
      <c r="G2" s="349">
        <v>2001</v>
      </c>
      <c r="H2" s="349">
        <v>2002</v>
      </c>
      <c r="I2" s="350">
        <v>2003</v>
      </c>
      <c r="J2" s="350">
        <v>2004</v>
      </c>
      <c r="K2" s="351">
        <v>2005</v>
      </c>
      <c r="L2" s="351">
        <v>2006</v>
      </c>
      <c r="M2" s="351">
        <v>2007</v>
      </c>
      <c r="O2" s="352">
        <f>K5-L5</f>
        <v>0.41126099999999965</v>
      </c>
    </row>
    <row r="3" spans="2:15">
      <c r="B3" s="353" t="s">
        <v>257</v>
      </c>
      <c r="C3" s="354">
        <v>94.9</v>
      </c>
      <c r="D3" s="354">
        <v>93.4</v>
      </c>
      <c r="E3" s="354">
        <v>92.7</v>
      </c>
      <c r="F3" s="354">
        <v>94.3</v>
      </c>
      <c r="G3" s="354">
        <v>95.8</v>
      </c>
      <c r="H3" s="354">
        <v>94.6</v>
      </c>
      <c r="I3" s="355">
        <v>95.4</v>
      </c>
      <c r="J3" s="355">
        <v>95.9</v>
      </c>
      <c r="K3" s="356">
        <v>95.9</v>
      </c>
      <c r="L3" s="356">
        <v>96</v>
      </c>
      <c r="M3" s="356">
        <v>96.2</v>
      </c>
    </row>
    <row r="4" spans="2:15">
      <c r="B4" s="353" t="s">
        <v>258</v>
      </c>
      <c r="C4" s="354">
        <v>79.650000000000006</v>
      </c>
      <c r="D4" s="354">
        <v>78.91</v>
      </c>
      <c r="E4" s="354">
        <v>78.81</v>
      </c>
      <c r="F4" s="354">
        <v>80.53</v>
      </c>
      <c r="G4" s="354">
        <v>81.819999999999993</v>
      </c>
      <c r="H4" s="354">
        <v>82.56</v>
      </c>
      <c r="I4" s="355">
        <v>86.47</v>
      </c>
      <c r="J4" s="355">
        <v>89.02</v>
      </c>
      <c r="K4" s="356">
        <v>90.19</v>
      </c>
      <c r="L4" s="356">
        <v>91.2</v>
      </c>
      <c r="M4" s="356">
        <v>91.2</v>
      </c>
    </row>
    <row r="5" spans="2:15" ht="15.75" thickBot="1">
      <c r="B5" s="357" t="s">
        <v>63</v>
      </c>
      <c r="C5" s="358"/>
      <c r="D5" s="358"/>
      <c r="E5" s="358"/>
      <c r="F5" s="359">
        <v>6.8910580000000001</v>
      </c>
      <c r="G5" s="359">
        <v>6.908455</v>
      </c>
      <c r="H5" s="359">
        <v>6.8316299999999996</v>
      </c>
      <c r="I5" s="359">
        <v>6.1910109999999996</v>
      </c>
      <c r="J5" s="359">
        <v>5.9518690000000003</v>
      </c>
      <c r="K5" s="359">
        <v>5.9129519999999998</v>
      </c>
      <c r="L5" s="359">
        <v>5.5016910000000001</v>
      </c>
      <c r="M5" s="359">
        <v>5.45</v>
      </c>
    </row>
    <row r="6" spans="2:15" ht="15.75" thickTop="1"/>
    <row r="7" spans="2:15" ht="15.75" thickBot="1"/>
    <row r="8" spans="2:15" ht="39" customHeight="1" thickTop="1" thickBot="1">
      <c r="B8" s="1354" t="s">
        <v>444</v>
      </c>
      <c r="C8" s="1355"/>
      <c r="D8" s="1355"/>
      <c r="E8" s="1355"/>
      <c r="F8" s="1355"/>
      <c r="G8" s="1355"/>
      <c r="H8" s="1355"/>
      <c r="I8" s="1355"/>
      <c r="J8" s="1356"/>
    </row>
    <row r="9" spans="2:15">
      <c r="B9" s="605"/>
      <c r="C9" s="606"/>
      <c r="D9" s="606"/>
      <c r="E9" s="606"/>
      <c r="F9" s="606"/>
      <c r="G9" s="606"/>
      <c r="H9" s="606"/>
      <c r="I9" s="606"/>
      <c r="J9" s="607"/>
    </row>
    <row r="10" spans="2:15">
      <c r="B10" s="605"/>
      <c r="C10" s="606"/>
      <c r="D10" s="606"/>
      <c r="E10" s="606"/>
      <c r="F10" s="606"/>
      <c r="G10" s="606"/>
      <c r="H10" s="606"/>
      <c r="I10" s="606"/>
      <c r="J10" s="607"/>
    </row>
    <row r="11" spans="2:15">
      <c r="B11" s="605"/>
      <c r="C11" s="606"/>
      <c r="D11" s="606"/>
      <c r="E11" s="606"/>
      <c r="F11" s="606"/>
      <c r="G11" s="606"/>
      <c r="H11" s="606"/>
      <c r="I11" s="606"/>
      <c r="J11" s="607"/>
    </row>
    <row r="12" spans="2:15">
      <c r="B12" s="605"/>
      <c r="C12" s="606"/>
      <c r="D12" s="606"/>
      <c r="E12" s="606"/>
      <c r="F12" s="606"/>
      <c r="G12" s="606"/>
      <c r="H12" s="606"/>
      <c r="I12" s="606"/>
      <c r="J12" s="607"/>
    </row>
    <row r="13" spans="2:15">
      <c r="B13" s="605"/>
      <c r="C13" s="606"/>
      <c r="D13" s="606"/>
      <c r="E13" s="606"/>
      <c r="F13" s="606"/>
      <c r="G13" s="606"/>
      <c r="H13" s="606"/>
      <c r="I13" s="606"/>
      <c r="J13" s="607"/>
    </row>
    <row r="14" spans="2:15">
      <c r="B14" s="605"/>
      <c r="C14" s="606"/>
      <c r="D14" s="606"/>
      <c r="E14" s="606"/>
      <c r="F14" s="606"/>
      <c r="G14" s="606"/>
      <c r="H14" s="606"/>
      <c r="I14" s="606"/>
      <c r="J14" s="607"/>
    </row>
    <row r="15" spans="2:15">
      <c r="B15" s="605"/>
      <c r="C15" s="606"/>
      <c r="D15" s="606"/>
      <c r="E15" s="606"/>
      <c r="F15" s="606"/>
      <c r="G15" s="606"/>
      <c r="H15" s="606"/>
      <c r="I15" s="606"/>
      <c r="J15" s="607"/>
    </row>
    <row r="16" spans="2:15">
      <c r="B16" s="605"/>
      <c r="C16" s="606"/>
      <c r="D16" s="606"/>
      <c r="E16" s="606"/>
      <c r="F16" s="606"/>
      <c r="G16" s="606"/>
      <c r="H16" s="606"/>
      <c r="I16" s="606"/>
      <c r="J16" s="607"/>
    </row>
    <row r="17" spans="2:11">
      <c r="B17" s="605"/>
      <c r="C17" s="606"/>
      <c r="D17" s="606"/>
      <c r="E17" s="606"/>
      <c r="F17" s="606"/>
      <c r="G17" s="606"/>
      <c r="H17" s="606"/>
      <c r="I17" s="606"/>
      <c r="J17" s="607"/>
    </row>
    <row r="18" spans="2:11">
      <c r="B18" s="605"/>
      <c r="C18" s="606"/>
      <c r="D18" s="606"/>
      <c r="E18" s="606"/>
      <c r="F18" s="606"/>
      <c r="G18" s="606"/>
      <c r="H18" s="606"/>
      <c r="I18" s="606"/>
      <c r="J18" s="607"/>
    </row>
    <row r="19" spans="2:11">
      <c r="B19" s="605"/>
      <c r="C19" s="606"/>
      <c r="D19" s="606"/>
      <c r="E19" s="606"/>
      <c r="F19" s="606"/>
      <c r="G19" s="606"/>
      <c r="H19" s="606"/>
      <c r="I19" s="606"/>
      <c r="J19" s="607"/>
    </row>
    <row r="20" spans="2:11">
      <c r="B20" s="605"/>
      <c r="C20" s="606"/>
      <c r="D20" s="606"/>
      <c r="E20" s="606"/>
      <c r="F20" s="606"/>
      <c r="G20" s="606"/>
      <c r="H20" s="606"/>
      <c r="I20" s="606"/>
      <c r="J20" s="607"/>
    </row>
    <row r="21" spans="2:11">
      <c r="B21" s="605"/>
      <c r="C21" s="606"/>
      <c r="D21" s="606"/>
      <c r="E21" s="606"/>
      <c r="F21" s="606"/>
      <c r="G21" s="606"/>
      <c r="H21" s="606"/>
      <c r="I21" s="606"/>
      <c r="J21" s="607"/>
    </row>
    <row r="22" spans="2:11">
      <c r="B22" s="605"/>
      <c r="C22" s="606"/>
      <c r="D22" s="606"/>
      <c r="E22" s="606"/>
      <c r="F22" s="606"/>
      <c r="G22" s="606"/>
      <c r="H22" s="606"/>
      <c r="I22" s="606"/>
      <c r="J22" s="607"/>
    </row>
    <row r="23" spans="2:11">
      <c r="B23" s="605"/>
      <c r="C23" s="606"/>
      <c r="D23" s="606"/>
      <c r="E23" s="606"/>
      <c r="F23" s="606"/>
      <c r="G23" s="606"/>
      <c r="H23" s="606"/>
      <c r="I23" s="606"/>
      <c r="J23" s="607"/>
    </row>
    <row r="24" spans="2:11">
      <c r="B24" s="605"/>
      <c r="C24" s="606"/>
      <c r="D24" s="606"/>
      <c r="E24" s="606"/>
      <c r="F24" s="606"/>
      <c r="G24" s="606"/>
      <c r="H24" s="606"/>
      <c r="I24" s="606"/>
      <c r="J24" s="607"/>
    </row>
    <row r="25" spans="2:11">
      <c r="B25" s="605"/>
      <c r="C25" s="606"/>
      <c r="D25" s="606"/>
      <c r="E25" s="606"/>
      <c r="F25" s="606"/>
      <c r="G25" s="606"/>
      <c r="H25" s="606"/>
      <c r="I25" s="606"/>
      <c r="J25" s="607"/>
    </row>
    <row r="26" spans="2:11">
      <c r="B26" s="605"/>
      <c r="C26" s="606"/>
      <c r="D26" s="606"/>
      <c r="E26" s="606"/>
      <c r="F26" s="606"/>
      <c r="G26" s="606"/>
      <c r="H26" s="606"/>
      <c r="I26" s="606"/>
      <c r="J26" s="607"/>
    </row>
    <row r="27" spans="2:11">
      <c r="B27" s="605"/>
      <c r="C27" s="606"/>
      <c r="D27" s="606"/>
      <c r="E27" s="606"/>
      <c r="F27" s="606"/>
      <c r="G27" s="606"/>
      <c r="H27" s="606"/>
      <c r="I27" s="606"/>
      <c r="J27" s="607"/>
    </row>
    <row r="28" spans="2:11">
      <c r="B28" s="605"/>
      <c r="C28" s="606"/>
      <c r="D28" s="606"/>
      <c r="E28" s="606"/>
      <c r="F28" s="606"/>
      <c r="G28" s="606"/>
      <c r="H28" s="606"/>
      <c r="I28" s="606"/>
      <c r="J28" s="607"/>
    </row>
    <row r="29" spans="2:11">
      <c r="B29" s="605"/>
      <c r="C29" s="606"/>
      <c r="D29" s="606"/>
      <c r="E29" s="606"/>
      <c r="F29" s="606"/>
      <c r="G29" s="606"/>
      <c r="H29" s="606"/>
      <c r="I29" s="606"/>
      <c r="J29" s="607"/>
    </row>
    <row r="30" spans="2:11" ht="15.75" thickBot="1">
      <c r="B30" s="608"/>
      <c r="C30" s="609"/>
      <c r="D30" s="609"/>
      <c r="E30" s="609"/>
      <c r="F30" s="609"/>
      <c r="G30" s="609"/>
      <c r="H30" s="609"/>
      <c r="I30" s="609"/>
      <c r="J30" s="610"/>
    </row>
    <row r="31" spans="2:11" ht="21.75" customHeight="1" thickTop="1">
      <c r="B31" s="1349" t="s">
        <v>443</v>
      </c>
      <c r="C31" s="1349"/>
      <c r="D31" s="1349"/>
      <c r="E31" s="1349"/>
      <c r="F31" s="1349"/>
      <c r="G31" s="1349"/>
      <c r="H31" s="1349"/>
      <c r="I31" s="1349"/>
      <c r="J31" s="1349"/>
      <c r="K31" s="1349"/>
    </row>
  </sheetData>
  <mergeCells count="2">
    <mergeCell ref="B31:K31"/>
    <mergeCell ref="B8:J8"/>
  </mergeCells>
  <printOptions horizontalCentered="1"/>
  <pageMargins left="0.39370078740157483" right="0.39370078740157483" top="0.59055118110236227" bottom="0.59055118110236227" header="0.39370078740157483" footer="0.39370078740157483"/>
  <pageSetup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D8C57E"/>
  </sheetPr>
  <dimension ref="A1:N16"/>
  <sheetViews>
    <sheetView showGridLines="0" zoomScaleNormal="60" zoomScaleSheetLayoutView="80" workbookViewId="0">
      <selection activeCell="O12" sqref="O12"/>
    </sheetView>
  </sheetViews>
  <sheetFormatPr baseColWidth="10" defaultRowHeight="12.75"/>
  <cols>
    <col min="1" max="1" width="1.7109375" style="58" customWidth="1"/>
    <col min="2" max="2" width="25.7109375" style="58" customWidth="1"/>
    <col min="3" max="12" width="9.7109375" style="58" customWidth="1"/>
    <col min="13" max="13" width="1.7109375" style="58" customWidth="1"/>
    <col min="14" max="14" width="17.140625" style="58" customWidth="1"/>
    <col min="15" max="16384" width="11.42578125" style="58"/>
  </cols>
  <sheetData>
    <row r="1" spans="1:14" ht="12" customHeight="1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4" ht="20.25" customHeight="1" thickBot="1">
      <c r="A2" s="304"/>
      <c r="B2" s="1357" t="s">
        <v>564</v>
      </c>
      <c r="C2" s="1357"/>
      <c r="D2" s="1357"/>
      <c r="E2" s="1357"/>
      <c r="F2" s="1357"/>
      <c r="G2" s="1357"/>
      <c r="H2" s="1358"/>
      <c r="I2" s="1358"/>
      <c r="J2" s="1358"/>
      <c r="K2" s="1358"/>
      <c r="L2" s="1358"/>
      <c r="M2" s="304"/>
    </row>
    <row r="3" spans="1:14" ht="30" customHeight="1" thickBot="1">
      <c r="A3" s="304"/>
      <c r="B3" s="931" t="s">
        <v>256</v>
      </c>
      <c r="C3" s="931">
        <v>2000</v>
      </c>
      <c r="D3" s="931">
        <v>2001</v>
      </c>
      <c r="E3" s="931">
        <v>2002</v>
      </c>
      <c r="F3" s="931">
        <v>2003</v>
      </c>
      <c r="G3" s="931">
        <v>2004</v>
      </c>
      <c r="H3" s="931">
        <v>2005</v>
      </c>
      <c r="I3" s="931">
        <v>2006</v>
      </c>
      <c r="J3" s="931">
        <v>2007</v>
      </c>
      <c r="K3" s="931">
        <v>2008</v>
      </c>
      <c r="L3" s="931">
        <v>2009</v>
      </c>
      <c r="M3" s="304"/>
    </row>
    <row r="4" spans="1:14" ht="30" customHeight="1" thickBot="1">
      <c r="A4" s="304"/>
      <c r="B4" s="909" t="s">
        <v>538</v>
      </c>
      <c r="C4" s="910"/>
      <c r="D4" s="911">
        <v>4.88</v>
      </c>
      <c r="E4" s="911">
        <v>5.3380000000000001</v>
      </c>
      <c r="F4" s="911">
        <v>4.0999999999999996</v>
      </c>
      <c r="G4" s="911">
        <v>4.3</v>
      </c>
      <c r="H4" s="911">
        <v>7.3</v>
      </c>
      <c r="I4" s="911">
        <v>2.6</v>
      </c>
      <c r="J4" s="911">
        <v>4.9000000000000004</v>
      </c>
      <c r="K4" s="911">
        <v>4.3</v>
      </c>
      <c r="L4" s="926">
        <v>4.5270800000000122</v>
      </c>
      <c r="M4" s="304"/>
    </row>
    <row r="5" spans="1:14" ht="30" customHeight="1" thickBot="1">
      <c r="A5" s="304"/>
      <c r="B5" s="912" t="s">
        <v>539</v>
      </c>
      <c r="C5" s="913">
        <v>45.927</v>
      </c>
      <c r="D5" s="913">
        <v>50.807000000000002</v>
      </c>
      <c r="E5" s="913">
        <v>56.145000000000003</v>
      </c>
      <c r="F5" s="913">
        <v>60.242550000000001</v>
      </c>
      <c r="G5" s="913">
        <v>64.542000000000002</v>
      </c>
      <c r="H5" s="913">
        <v>71.8</v>
      </c>
      <c r="I5" s="913">
        <v>74.400000000000006</v>
      </c>
      <c r="J5" s="913">
        <v>79.3</v>
      </c>
      <c r="K5" s="913">
        <v>83.6</v>
      </c>
      <c r="L5" s="926">
        <v>88.127080000000007</v>
      </c>
      <c r="M5" s="304"/>
    </row>
    <row r="6" spans="1:14" ht="30" customHeight="1" thickBot="1">
      <c r="A6" s="304"/>
      <c r="B6" s="909" t="s">
        <v>540</v>
      </c>
      <c r="C6" s="911">
        <v>200</v>
      </c>
      <c r="D6" s="911">
        <v>202</v>
      </c>
      <c r="E6" s="911">
        <v>203</v>
      </c>
      <c r="F6" s="911">
        <v>203</v>
      </c>
      <c r="G6" s="911">
        <v>205</v>
      </c>
      <c r="H6" s="911">
        <v>205</v>
      </c>
      <c r="I6" s="911">
        <v>206</v>
      </c>
      <c r="J6" s="911">
        <v>207</v>
      </c>
      <c r="K6" s="911">
        <v>208</v>
      </c>
      <c r="L6" s="926">
        <v>209</v>
      </c>
      <c r="M6" s="304"/>
    </row>
    <row r="7" spans="1:14" ht="30" customHeight="1" thickBot="1">
      <c r="A7" s="304"/>
      <c r="B7" s="912" t="s">
        <v>202</v>
      </c>
      <c r="C7" s="914">
        <v>0.22963500000000001</v>
      </c>
      <c r="D7" s="914">
        <v>0.25151980198019802</v>
      </c>
      <c r="E7" s="914">
        <v>0.27657635467980296</v>
      </c>
      <c r="F7" s="914">
        <v>0.29676133004926109</v>
      </c>
      <c r="G7" s="914">
        <v>0.31483902439024392</v>
      </c>
      <c r="H7" s="914">
        <v>0.35024390243902437</v>
      </c>
      <c r="I7" s="914">
        <v>0.36116504854368936</v>
      </c>
      <c r="J7" s="914">
        <v>0.38309178743961353</v>
      </c>
      <c r="K7" s="914">
        <v>0.40192307692307688</v>
      </c>
      <c r="L7" s="927">
        <v>0.42099999999999999</v>
      </c>
      <c r="M7" s="304"/>
    </row>
    <row r="8" spans="1:14" s="59" customFormat="1">
      <c r="A8" s="305"/>
      <c r="B8" s="870" t="s">
        <v>580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4"/>
      <c r="N8" s="58"/>
    </row>
    <row r="9" spans="1:14" s="59" customFormat="1" ht="14.25"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58"/>
    </row>
    <row r="16" spans="1:14">
      <c r="B16" s="244"/>
    </row>
  </sheetData>
  <sheetProtection password="CF4C" sheet="1" objects="1" scenarios="1"/>
  <customSheetViews>
    <customSheetView guid="{E9B43C8C-734F-433D-AD37-344F9303B5CC}" showPageBreaks="1" showGridLines="0" showRuler="0">
      <selection activeCell="E19" sqref="E19"/>
      <pageMargins left="0.75" right="0.75" top="0.75" bottom="1" header="0.36" footer="0"/>
      <printOptions horizontalCentered="1"/>
      <pageSetup scale="75" orientation="landscape" r:id="rId1"/>
      <headerFooter alignWithMargins="0">
        <oddFooter>&amp;L&amp;6&amp;F:&amp;D&amp;R&amp;8 3</oddFooter>
      </headerFooter>
    </customSheetView>
    <customSheetView guid="{9BF398E0-33D8-4E64-94A2-9B7C822C8383}" showPageBreaks="1" showGridLines="0" showRuler="0">
      <pageMargins left="0.75" right="0.75" top="0.75" bottom="1" header="0.36" footer="0"/>
      <printOptions horizontalCentered="1"/>
      <pageSetup scale="75" orientation="landscape" r:id="rId2"/>
      <headerFooter alignWithMargins="0">
        <oddFooter>&amp;L&amp;6&amp;F:&amp;D&amp;R&amp;8 3</oddFooter>
      </headerFooter>
    </customSheetView>
    <customSheetView guid="{6DCFE324-2DF9-4BB0-88BD-A4AD316C7A9E}" showPageBreaks="1" showGridLines="0" printArea="1" showRuler="0">
      <pageMargins left="0.75" right="0.75" top="0.75" bottom="1" header="0.36" footer="0"/>
      <printOptions horizontalCentered="1"/>
      <pageSetup scale="75" orientation="landscape" r:id="rId3"/>
      <headerFooter alignWithMargins="0">
        <oddFooter>&amp;L&amp;6&amp;F:&amp;D&amp;R&amp;8 3</oddFooter>
      </headerFooter>
    </customSheetView>
    <customSheetView guid="{48A744A8-8180-4A3B-8108-49EF41816969}" showGridLines="0" showRuler="0">
      <pageMargins left="0.75" right="0.75" top="0.75" bottom="1" header="0.36" footer="0"/>
      <printOptions horizontalCentered="1"/>
      <pageSetup scale="75" orientation="landscape" r:id="rId4"/>
      <headerFooter alignWithMargins="0">
        <oddFooter>&amp;L&amp;6&amp;F:&amp;D&amp;R&amp;8 3</oddFooter>
      </headerFooter>
    </customSheetView>
    <customSheetView guid="{9E220BD5-A526-40BD-8239-3A0461590922}" showGridLines="0" showRuler="0">
      <selection activeCell="E19" sqref="E19"/>
      <pageMargins left="0.75" right="0.75" top="0.75" bottom="1" header="0.36" footer="0"/>
      <printOptions horizontalCentered="1"/>
      <pageSetup scale="75" orientation="landscape" r:id="rId5"/>
      <headerFooter alignWithMargins="0">
        <oddFooter>&amp;L&amp;6&amp;F:&amp;D&amp;R&amp;8 3</oddFooter>
      </headerFooter>
    </customSheetView>
  </customSheetViews>
  <mergeCells count="1">
    <mergeCell ref="B2:L2"/>
  </mergeCells>
  <phoneticPr fontId="3" type="noConversion"/>
  <printOptions horizontalCentered="1"/>
  <pageMargins left="0.75" right="0.75" top="0.75" bottom="1" header="0.36" footer="0"/>
  <pageSetup scale="75" orientation="landscape" r:id="rId6"/>
  <headerFooter alignWithMargins="0">
    <oddFooter>&amp;R&amp;8 3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D8C57E"/>
    <pageSetUpPr fitToPage="1"/>
  </sheetPr>
  <dimension ref="B2:Q39"/>
  <sheetViews>
    <sheetView showGridLines="0" topLeftCell="B11" zoomScaleNormal="100" workbookViewId="0">
      <selection activeCell="L22" sqref="L22"/>
    </sheetView>
  </sheetViews>
  <sheetFormatPr baseColWidth="10" defaultRowHeight="12.75"/>
  <cols>
    <col min="1" max="1" width="2.7109375" style="533" customWidth="1"/>
    <col min="2" max="6" width="11.42578125" style="533"/>
    <col min="7" max="7" width="13" style="533" bestFit="1" customWidth="1"/>
    <col min="8" max="16384" width="11.42578125" style="533"/>
  </cols>
  <sheetData>
    <row r="2" spans="2:17" ht="2.25" customHeight="1">
      <c r="B2" s="1359" t="s">
        <v>376</v>
      </c>
      <c r="C2" s="1359"/>
      <c r="D2" s="1359"/>
      <c r="E2" s="1359"/>
      <c r="F2" s="1359"/>
      <c r="G2" s="1359"/>
      <c r="H2" s="1029"/>
      <c r="I2" s="1029"/>
      <c r="J2" s="1359" t="s">
        <v>391</v>
      </c>
      <c r="K2" s="1359"/>
      <c r="L2" s="1359"/>
      <c r="M2" s="1359"/>
      <c r="N2" s="1359"/>
    </row>
    <row r="3" spans="2:17" ht="2.25" customHeight="1">
      <c r="B3" s="1055" t="s">
        <v>392</v>
      </c>
      <c r="C3" s="1055" t="s">
        <v>446</v>
      </c>
      <c r="D3" s="1055" t="s">
        <v>447</v>
      </c>
      <c r="E3" s="1055" t="s">
        <v>448</v>
      </c>
      <c r="F3" s="1055" t="s">
        <v>449</v>
      </c>
      <c r="G3" s="1055" t="s">
        <v>450</v>
      </c>
      <c r="H3" s="1056"/>
      <c r="I3" s="1056"/>
      <c r="J3" s="1055" t="s">
        <v>392</v>
      </c>
      <c r="K3" s="1055" t="s">
        <v>446</v>
      </c>
      <c r="L3" s="1055" t="s">
        <v>447</v>
      </c>
      <c r="M3" s="1055" t="s">
        <v>448</v>
      </c>
      <c r="N3" s="1055" t="s">
        <v>451</v>
      </c>
    </row>
    <row r="4" spans="2:17" ht="2.25" customHeight="1">
      <c r="B4" s="1057">
        <v>2007</v>
      </c>
      <c r="C4" s="1057">
        <v>4.9000000000000004</v>
      </c>
      <c r="D4" s="1058">
        <v>79.388300000000001</v>
      </c>
      <c r="E4" s="1057">
        <v>207</v>
      </c>
      <c r="F4" s="1057">
        <v>38.5</v>
      </c>
      <c r="G4" s="1059">
        <v>38.309178743961354</v>
      </c>
      <c r="H4" s="1029"/>
      <c r="I4" s="1029"/>
      <c r="J4" s="1057">
        <v>2007</v>
      </c>
      <c r="K4" s="1057">
        <v>5.3</v>
      </c>
      <c r="L4" s="1057">
        <v>79.7</v>
      </c>
      <c r="M4" s="1057">
        <v>207</v>
      </c>
      <c r="N4" s="1057">
        <v>38.5</v>
      </c>
    </row>
    <row r="5" spans="2:17" ht="2.25" customHeight="1">
      <c r="B5" s="1057">
        <v>2008</v>
      </c>
      <c r="C5" s="1058">
        <v>4.3</v>
      </c>
      <c r="D5" s="1058">
        <v>83.63960999999999</v>
      </c>
      <c r="E5" s="1057">
        <v>208</v>
      </c>
      <c r="F5" s="1057">
        <v>40.9</v>
      </c>
      <c r="G5" s="1059">
        <v>40.192307692307686</v>
      </c>
      <c r="H5" s="1029"/>
      <c r="I5" s="1029"/>
      <c r="J5" s="1057">
        <v>2008</v>
      </c>
      <c r="K5" s="1057">
        <v>5.8</v>
      </c>
      <c r="L5" s="1057">
        <v>85.5</v>
      </c>
      <c r="M5" s="1057">
        <v>209</v>
      </c>
      <c r="N5" s="1057">
        <v>40.9</v>
      </c>
    </row>
    <row r="6" spans="2:17" ht="2.25" customHeight="1">
      <c r="B6" s="1057">
        <v>2009</v>
      </c>
      <c r="C6" s="1058">
        <v>4.5270800000000122</v>
      </c>
      <c r="D6" s="1058">
        <v>88.127080000000007</v>
      </c>
      <c r="E6" s="1057">
        <v>209</v>
      </c>
      <c r="F6" s="1057">
        <v>43.5</v>
      </c>
      <c r="G6" s="1059">
        <v>42.166066985645934</v>
      </c>
      <c r="H6" s="1029"/>
      <c r="I6" s="1029"/>
      <c r="J6" s="1057">
        <v>2009</v>
      </c>
      <c r="K6" s="1057">
        <v>6.7</v>
      </c>
      <c r="L6" s="1057">
        <v>92.2</v>
      </c>
      <c r="M6" s="1057">
        <v>212</v>
      </c>
      <c r="N6" s="1057">
        <v>43.5</v>
      </c>
    </row>
    <row r="7" spans="2:17" ht="2.25" customHeight="1">
      <c r="B7" s="1057">
        <v>2010</v>
      </c>
      <c r="C7" s="1057">
        <v>12.1</v>
      </c>
      <c r="D7" s="1057">
        <v>104.3</v>
      </c>
      <c r="E7" s="1057">
        <v>215</v>
      </c>
      <c r="F7" s="1057">
        <v>48.5</v>
      </c>
      <c r="G7" s="1059"/>
      <c r="H7" s="1029"/>
      <c r="I7" s="1029"/>
      <c r="J7" s="1057">
        <v>2010</v>
      </c>
      <c r="K7" s="1057">
        <v>12.1</v>
      </c>
      <c r="L7" s="1057">
        <v>104.3</v>
      </c>
      <c r="M7" s="1057">
        <v>215</v>
      </c>
      <c r="N7" s="1057">
        <v>48.5</v>
      </c>
    </row>
    <row r="8" spans="2:17" ht="2.25" customHeight="1">
      <c r="B8" s="1057">
        <v>2011</v>
      </c>
      <c r="C8" s="1057">
        <v>13.6</v>
      </c>
      <c r="D8" s="1057">
        <v>117.9</v>
      </c>
      <c r="E8" s="1057">
        <v>218</v>
      </c>
      <c r="F8" s="1057">
        <v>54.1</v>
      </c>
      <c r="G8" s="1059"/>
      <c r="H8" s="1029"/>
      <c r="I8" s="1029"/>
      <c r="J8" s="1057">
        <v>2011</v>
      </c>
      <c r="K8" s="1057">
        <v>13.6</v>
      </c>
      <c r="L8" s="1057">
        <v>117.9</v>
      </c>
      <c r="M8" s="1057">
        <v>218</v>
      </c>
      <c r="N8" s="1057">
        <v>54.1</v>
      </c>
    </row>
    <row r="9" spans="2:17" ht="2.25" customHeight="1">
      <c r="B9" s="1057">
        <v>2012</v>
      </c>
      <c r="C9" s="1057">
        <v>14.1</v>
      </c>
      <c r="D9" s="1057">
        <v>132</v>
      </c>
      <c r="E9" s="1057">
        <v>220</v>
      </c>
      <c r="F9" s="1058">
        <v>60</v>
      </c>
      <c r="G9" s="1059"/>
      <c r="H9" s="1029"/>
      <c r="I9" s="1029"/>
      <c r="J9" s="1057">
        <v>2012</v>
      </c>
      <c r="K9" s="1057">
        <v>14.1</v>
      </c>
      <c r="L9" s="1057">
        <v>132</v>
      </c>
      <c r="M9" s="1057">
        <v>220</v>
      </c>
      <c r="N9" s="1058">
        <v>60</v>
      </c>
    </row>
    <row r="12" spans="2:17" ht="13.5" thickBot="1"/>
    <row r="13" spans="2:17" ht="24" customHeight="1" thickTop="1" thickBot="1">
      <c r="B13" s="1360" t="s">
        <v>393</v>
      </c>
      <c r="C13" s="1361"/>
      <c r="D13" s="1361"/>
      <c r="E13" s="1361"/>
      <c r="F13" s="1361"/>
      <c r="G13" s="1361"/>
      <c r="H13" s="1361"/>
      <c r="I13" s="1361"/>
      <c r="J13" s="1362"/>
    </row>
    <row r="14" spans="2:17">
      <c r="B14" s="611"/>
      <c r="C14" s="612"/>
      <c r="D14" s="612"/>
      <c r="E14" s="612"/>
      <c r="F14" s="612"/>
      <c r="G14" s="612"/>
      <c r="H14" s="612"/>
      <c r="I14" s="612"/>
      <c r="J14" s="613"/>
      <c r="N14" s="692"/>
      <c r="O14" s="692"/>
      <c r="P14" s="692"/>
      <c r="Q14" s="692"/>
    </row>
    <row r="15" spans="2:17">
      <c r="B15" s="611"/>
      <c r="C15" s="612"/>
      <c r="D15" s="612"/>
      <c r="E15" s="612"/>
      <c r="F15" s="612"/>
      <c r="G15" s="612"/>
      <c r="H15" s="612"/>
      <c r="I15" s="612"/>
      <c r="J15" s="613"/>
      <c r="N15" s="692"/>
      <c r="O15" s="692"/>
      <c r="P15" s="692"/>
      <c r="Q15" s="692"/>
    </row>
    <row r="16" spans="2:17">
      <c r="B16" s="611"/>
      <c r="C16" s="612"/>
      <c r="D16" s="612"/>
      <c r="E16" s="612"/>
      <c r="F16" s="612"/>
      <c r="G16" s="612"/>
      <c r="H16" s="612"/>
      <c r="I16" s="612"/>
      <c r="J16" s="613"/>
      <c r="N16" s="692"/>
      <c r="O16" s="692"/>
      <c r="P16" s="692"/>
      <c r="Q16" s="692"/>
    </row>
    <row r="17" spans="2:17">
      <c r="B17" s="611"/>
      <c r="C17" s="612"/>
      <c r="D17" s="612"/>
      <c r="E17" s="612"/>
      <c r="F17" s="612"/>
      <c r="G17" s="612"/>
      <c r="H17" s="612"/>
      <c r="I17" s="612"/>
      <c r="J17" s="613"/>
      <c r="N17" s="692"/>
      <c r="O17" s="692"/>
      <c r="P17" s="692"/>
      <c r="Q17" s="692"/>
    </row>
    <row r="18" spans="2:17">
      <c r="B18" s="611"/>
      <c r="C18" s="612"/>
      <c r="D18" s="612"/>
      <c r="E18" s="612"/>
      <c r="F18" s="612"/>
      <c r="G18" s="612"/>
      <c r="H18" s="612"/>
      <c r="I18" s="612"/>
      <c r="J18" s="613"/>
      <c r="N18" s="692"/>
      <c r="O18" s="692"/>
      <c r="P18" s="692"/>
      <c r="Q18" s="692"/>
    </row>
    <row r="19" spans="2:17">
      <c r="B19" s="611"/>
      <c r="C19" s="612"/>
      <c r="D19" s="612"/>
      <c r="E19" s="612"/>
      <c r="F19" s="612"/>
      <c r="G19" s="612"/>
      <c r="H19" s="612"/>
      <c r="I19" s="612"/>
      <c r="J19" s="613"/>
      <c r="N19" s="692"/>
      <c r="O19" s="692"/>
      <c r="P19" s="692"/>
      <c r="Q19" s="692"/>
    </row>
    <row r="20" spans="2:17">
      <c r="B20" s="611"/>
      <c r="C20" s="612"/>
      <c r="D20" s="612"/>
      <c r="E20" s="612"/>
      <c r="F20" s="612"/>
      <c r="G20" s="612"/>
      <c r="H20" s="612"/>
      <c r="I20" s="612"/>
      <c r="J20" s="613"/>
    </row>
    <row r="21" spans="2:17">
      <c r="B21" s="611"/>
      <c r="C21" s="612"/>
      <c r="D21" s="612"/>
      <c r="E21" s="612"/>
      <c r="F21" s="612"/>
      <c r="G21" s="612"/>
      <c r="H21" s="612"/>
      <c r="I21" s="612"/>
      <c r="J21" s="613"/>
    </row>
    <row r="22" spans="2:17">
      <c r="B22" s="611"/>
      <c r="C22" s="612"/>
      <c r="D22" s="612"/>
      <c r="E22" s="612"/>
      <c r="F22" s="612"/>
      <c r="G22" s="612"/>
      <c r="H22" s="612"/>
      <c r="I22" s="612"/>
      <c r="J22" s="613"/>
    </row>
    <row r="23" spans="2:17">
      <c r="B23" s="611"/>
      <c r="C23" s="612"/>
      <c r="D23" s="612"/>
      <c r="E23" s="612"/>
      <c r="F23" s="612"/>
      <c r="G23" s="612"/>
      <c r="H23" s="612"/>
      <c r="I23" s="612"/>
      <c r="J23" s="613"/>
    </row>
    <row r="24" spans="2:17">
      <c r="B24" s="611"/>
      <c r="C24" s="612"/>
      <c r="D24" s="612"/>
      <c r="E24" s="612"/>
      <c r="F24" s="612"/>
      <c r="G24" s="612"/>
      <c r="H24" s="612"/>
      <c r="I24" s="612"/>
      <c r="J24" s="613"/>
    </row>
    <row r="25" spans="2:17">
      <c r="B25" s="611"/>
      <c r="C25" s="612"/>
      <c r="D25" s="612"/>
      <c r="E25" s="612"/>
      <c r="F25" s="612"/>
      <c r="G25" s="612"/>
      <c r="H25" s="612"/>
      <c r="I25" s="612"/>
      <c r="J25" s="613"/>
    </row>
    <row r="26" spans="2:17">
      <c r="B26" s="611"/>
      <c r="C26" s="612"/>
      <c r="D26" s="612"/>
      <c r="E26" s="612"/>
      <c r="F26" s="612"/>
      <c r="G26" s="612"/>
      <c r="H26" s="612"/>
      <c r="I26" s="612"/>
      <c r="J26" s="613"/>
    </row>
    <row r="27" spans="2:17">
      <c r="B27" s="611"/>
      <c r="C27" s="612"/>
      <c r="D27" s="612"/>
      <c r="E27" s="612"/>
      <c r="F27" s="612"/>
      <c r="G27" s="612"/>
      <c r="H27" s="612"/>
      <c r="I27" s="612"/>
      <c r="J27" s="613"/>
    </row>
    <row r="28" spans="2:17">
      <c r="B28" s="611"/>
      <c r="C28" s="612"/>
      <c r="D28" s="612"/>
      <c r="E28" s="612"/>
      <c r="F28" s="612"/>
      <c r="G28" s="612"/>
      <c r="H28" s="612"/>
      <c r="I28" s="612"/>
      <c r="J28" s="613"/>
    </row>
    <row r="29" spans="2:17">
      <c r="B29" s="611"/>
      <c r="C29" s="612"/>
      <c r="D29" s="612"/>
      <c r="E29" s="612"/>
      <c r="F29" s="612"/>
      <c r="G29" s="612"/>
      <c r="H29" s="612"/>
      <c r="I29" s="612"/>
      <c r="J29" s="613"/>
    </row>
    <row r="30" spans="2:17">
      <c r="B30" s="611"/>
      <c r="C30" s="612"/>
      <c r="D30" s="612"/>
      <c r="E30" s="612"/>
      <c r="F30" s="612"/>
      <c r="G30" s="612"/>
      <c r="H30" s="612"/>
      <c r="I30" s="612"/>
      <c r="J30" s="613"/>
    </row>
    <row r="31" spans="2:17">
      <c r="B31" s="611"/>
      <c r="C31" s="612"/>
      <c r="D31" s="612"/>
      <c r="E31" s="612"/>
      <c r="F31" s="612"/>
      <c r="G31" s="612"/>
      <c r="H31" s="612"/>
      <c r="I31" s="612"/>
      <c r="J31" s="613"/>
    </row>
    <row r="32" spans="2:17">
      <c r="B32" s="611"/>
      <c r="C32" s="612"/>
      <c r="D32" s="612"/>
      <c r="E32" s="612"/>
      <c r="F32" s="612"/>
      <c r="G32" s="612"/>
      <c r="H32" s="612"/>
      <c r="I32" s="612"/>
      <c r="J32" s="613"/>
    </row>
    <row r="33" spans="2:10">
      <c r="B33" s="611"/>
      <c r="C33" s="612"/>
      <c r="D33" s="612"/>
      <c r="E33" s="612"/>
      <c r="F33" s="612"/>
      <c r="G33" s="612"/>
      <c r="H33" s="612"/>
      <c r="I33" s="612"/>
      <c r="J33" s="613"/>
    </row>
    <row r="34" spans="2:10">
      <c r="B34" s="611"/>
      <c r="C34" s="612"/>
      <c r="D34" s="612"/>
      <c r="E34" s="612"/>
      <c r="F34" s="612"/>
      <c r="G34" s="612"/>
      <c r="H34" s="612"/>
      <c r="I34" s="612"/>
      <c r="J34" s="613"/>
    </row>
    <row r="35" spans="2:10">
      <c r="B35" s="611"/>
      <c r="C35" s="612"/>
      <c r="D35" s="612"/>
      <c r="E35" s="612"/>
      <c r="F35" s="612"/>
      <c r="G35" s="612"/>
      <c r="H35" s="612"/>
      <c r="I35" s="612"/>
      <c r="J35" s="613"/>
    </row>
    <row r="36" spans="2:10">
      <c r="B36" s="611"/>
      <c r="C36" s="612"/>
      <c r="D36" s="612"/>
      <c r="E36" s="612"/>
      <c r="F36" s="612"/>
      <c r="G36" s="612"/>
      <c r="H36" s="612"/>
      <c r="I36" s="612"/>
      <c r="J36" s="613"/>
    </row>
    <row r="37" spans="2:10">
      <c r="B37" s="611"/>
      <c r="C37" s="612"/>
      <c r="D37" s="612"/>
      <c r="E37" s="612"/>
      <c r="F37" s="612"/>
      <c r="G37" s="612"/>
      <c r="H37" s="612"/>
      <c r="I37" s="612"/>
      <c r="J37" s="613"/>
    </row>
    <row r="38" spans="2:10" ht="13.5" thickBot="1">
      <c r="B38" s="614"/>
      <c r="C38" s="615"/>
      <c r="D38" s="615"/>
      <c r="E38" s="615"/>
      <c r="F38" s="615"/>
      <c r="G38" s="615"/>
      <c r="H38" s="615"/>
      <c r="I38" s="615"/>
      <c r="J38" s="616"/>
    </row>
    <row r="39" spans="2:10" ht="13.5" thickTop="1">
      <c r="B39" s="872" t="s">
        <v>445</v>
      </c>
    </row>
  </sheetData>
  <sheetProtection password="CF4C" sheet="1" objects="1" scenarios="1" deleteColumns="0" deleteRows="0" pivotTables="0"/>
  <mergeCells count="3">
    <mergeCell ref="B2:G2"/>
    <mergeCell ref="J2:N2"/>
    <mergeCell ref="B13:J13"/>
  </mergeCells>
  <printOptions horizontalCentered="1" verticalCentered="1"/>
  <pageMargins left="0.39370078740157483" right="0.39370078740157483" top="0.59055118110236227" bottom="0.59055118110236227" header="0.39370078740157483" footer="0.39370078740157483"/>
  <pageSetup paperSize="119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6" enableFormatConditionsCalculation="0">
    <tabColor rgb="FFD8C57E"/>
    <pageSetUpPr fitToPage="1"/>
  </sheetPr>
  <dimension ref="A1:K49"/>
  <sheetViews>
    <sheetView showGridLines="0" zoomScaleNormal="100" workbookViewId="0">
      <selection activeCell="K12" sqref="K12"/>
    </sheetView>
  </sheetViews>
  <sheetFormatPr baseColWidth="10" defaultRowHeight="12.75"/>
  <cols>
    <col min="1" max="1" width="1.7109375" customWidth="1"/>
    <col min="2" max="2" width="10.5703125" customWidth="1"/>
    <col min="3" max="3" width="18" customWidth="1"/>
    <col min="4" max="4" width="22" customWidth="1"/>
    <col min="5" max="5" width="23.85546875" customWidth="1"/>
    <col min="6" max="6" width="1.7109375" customWidth="1"/>
    <col min="8" max="8" width="9.7109375" customWidth="1"/>
    <col min="9" max="9" width="14.7109375" customWidth="1"/>
    <col min="10" max="10" width="9.7109375" customWidth="1"/>
    <col min="11" max="11" width="14.7109375" customWidth="1"/>
  </cols>
  <sheetData>
    <row r="1" spans="1:11" s="46" customFormat="1" ht="12" customHeight="1">
      <c r="A1" s="261"/>
      <c r="B1" s="259"/>
      <c r="C1" s="260"/>
      <c r="D1" s="260"/>
      <c r="E1" s="260"/>
      <c r="F1" s="261"/>
      <c r="H1" s="45"/>
      <c r="I1" s="45"/>
      <c r="J1" s="45"/>
      <c r="K1" s="45"/>
    </row>
    <row r="2" spans="1:11" ht="47.25" customHeight="1" thickBot="1">
      <c r="A2" s="263"/>
      <c r="B2" s="1357" t="s">
        <v>565</v>
      </c>
      <c r="C2" s="1357"/>
      <c r="D2" s="1357"/>
      <c r="E2" s="1357"/>
      <c r="F2" s="263"/>
      <c r="H2" s="6"/>
      <c r="I2" s="6"/>
      <c r="J2" s="228"/>
      <c r="K2" s="228"/>
    </row>
    <row r="3" spans="1:11" ht="18" customHeight="1" thickBot="1">
      <c r="A3" s="263"/>
      <c r="B3" s="1363" t="s">
        <v>256</v>
      </c>
      <c r="C3" s="1364" t="s">
        <v>334</v>
      </c>
      <c r="D3" s="1365"/>
      <c r="E3" s="1366"/>
      <c r="F3" s="263"/>
      <c r="H3" s="6"/>
      <c r="I3" s="6"/>
      <c r="J3" s="6"/>
      <c r="K3" s="6"/>
    </row>
    <row r="4" spans="1:11" ht="32.25" thickBot="1">
      <c r="A4" s="263"/>
      <c r="B4" s="1363"/>
      <c r="C4" s="925" t="s">
        <v>499</v>
      </c>
      <c r="D4" s="925" t="s">
        <v>183</v>
      </c>
      <c r="E4" s="925" t="s">
        <v>195</v>
      </c>
      <c r="F4" s="263"/>
      <c r="H4" s="6"/>
      <c r="I4" s="6"/>
      <c r="J4" s="6"/>
      <c r="K4" s="6"/>
    </row>
    <row r="5" spans="1:11" ht="15" customHeight="1" thickBot="1">
      <c r="A5" s="263"/>
      <c r="B5" s="922">
        <v>1992</v>
      </c>
      <c r="C5" s="923">
        <v>394</v>
      </c>
      <c r="D5" s="924" t="s">
        <v>188</v>
      </c>
      <c r="E5" s="924">
        <v>30554</v>
      </c>
      <c r="F5" s="263"/>
      <c r="H5" s="6"/>
      <c r="I5" s="6"/>
      <c r="J5" s="6"/>
      <c r="K5" s="6"/>
    </row>
    <row r="6" spans="1:11" ht="15" customHeight="1" thickBot="1">
      <c r="A6" s="263"/>
      <c r="B6" s="919">
        <v>1993</v>
      </c>
      <c r="C6" s="920">
        <v>454</v>
      </c>
      <c r="D6" s="921" t="s">
        <v>188</v>
      </c>
      <c r="E6" s="921">
        <v>30726</v>
      </c>
      <c r="F6" s="263"/>
      <c r="H6" s="6"/>
      <c r="I6" s="6"/>
      <c r="J6" s="6"/>
      <c r="K6" s="6"/>
    </row>
    <row r="7" spans="1:11" ht="15" customHeight="1" thickBot="1">
      <c r="A7" s="263"/>
      <c r="B7" s="922">
        <v>1994</v>
      </c>
      <c r="C7" s="923">
        <v>461</v>
      </c>
      <c r="D7" s="924" t="s">
        <v>188</v>
      </c>
      <c r="E7" s="924">
        <v>32065</v>
      </c>
      <c r="F7" s="263"/>
      <c r="H7" s="6"/>
      <c r="I7" s="6"/>
      <c r="J7" s="6"/>
      <c r="K7" s="6"/>
    </row>
    <row r="8" spans="1:11" ht="15" customHeight="1" thickBot="1">
      <c r="A8" s="263"/>
      <c r="B8" s="919">
        <v>1995</v>
      </c>
      <c r="C8" s="920">
        <v>469</v>
      </c>
      <c r="D8" s="921">
        <v>48172</v>
      </c>
      <c r="E8" s="921">
        <v>32905.199999999997</v>
      </c>
      <c r="F8" s="263"/>
      <c r="H8" s="6"/>
      <c r="I8" s="6"/>
      <c r="J8" s="6"/>
      <c r="K8" s="6"/>
    </row>
    <row r="9" spans="1:11" ht="15" customHeight="1" thickBot="1">
      <c r="A9" s="263"/>
      <c r="B9" s="922">
        <v>1996</v>
      </c>
      <c r="C9" s="923">
        <v>595</v>
      </c>
      <c r="D9" s="924">
        <v>51696.3</v>
      </c>
      <c r="E9" s="924">
        <v>33745.4</v>
      </c>
      <c r="F9" s="263"/>
      <c r="H9" s="6"/>
      <c r="I9" s="6"/>
      <c r="J9" s="6"/>
      <c r="K9" s="6"/>
    </row>
    <row r="10" spans="1:11" ht="15" customHeight="1" thickBot="1">
      <c r="A10" s="263"/>
      <c r="B10" s="919">
        <v>1997</v>
      </c>
      <c r="C10" s="920">
        <v>639</v>
      </c>
      <c r="D10" s="921">
        <v>57401.7</v>
      </c>
      <c r="E10" s="921">
        <v>39388.800000000003</v>
      </c>
      <c r="F10" s="263"/>
      <c r="H10" s="6"/>
      <c r="I10" s="6"/>
      <c r="J10" s="6"/>
      <c r="K10" s="6"/>
    </row>
    <row r="11" spans="1:11" ht="15" customHeight="1" thickBot="1">
      <c r="A11" s="263"/>
      <c r="B11" s="922">
        <v>1998</v>
      </c>
      <c r="C11" s="923">
        <v>727</v>
      </c>
      <c r="D11" s="924">
        <v>58560.2</v>
      </c>
      <c r="E11" s="924">
        <v>40854.699999999997</v>
      </c>
      <c r="F11" s="263"/>
      <c r="H11" s="6"/>
      <c r="I11" s="6"/>
      <c r="J11" s="6"/>
      <c r="K11" s="6"/>
    </row>
    <row r="12" spans="1:11" ht="15" customHeight="1" thickBot="1">
      <c r="A12" s="263"/>
      <c r="B12" s="919">
        <v>1999</v>
      </c>
      <c r="C12" s="920">
        <v>777</v>
      </c>
      <c r="D12" s="921">
        <v>61558.99</v>
      </c>
      <c r="E12" s="921">
        <v>42396.76</v>
      </c>
      <c r="F12" s="263"/>
      <c r="H12" s="6"/>
      <c r="I12" s="6"/>
      <c r="J12" s="6"/>
      <c r="K12" s="6"/>
    </row>
    <row r="13" spans="1:11" ht="15" customHeight="1" thickBot="1">
      <c r="A13" s="263"/>
      <c r="B13" s="922">
        <v>2000</v>
      </c>
      <c r="C13" s="923">
        <v>793</v>
      </c>
      <c r="D13" s="924">
        <v>68970</v>
      </c>
      <c r="E13" s="924">
        <v>45927.3</v>
      </c>
      <c r="F13" s="263"/>
      <c r="H13" s="6"/>
      <c r="I13" s="6"/>
      <c r="J13" s="6"/>
      <c r="K13" s="6"/>
    </row>
    <row r="14" spans="1:11" ht="15" customHeight="1" thickBot="1">
      <c r="A14" s="263"/>
      <c r="B14" s="919">
        <v>2001</v>
      </c>
      <c r="C14" s="920">
        <v>938</v>
      </c>
      <c r="D14" s="921">
        <v>73852.600000000006</v>
      </c>
      <c r="E14" s="921">
        <v>50810</v>
      </c>
      <c r="F14" s="263"/>
      <c r="H14" s="6"/>
      <c r="I14" s="6"/>
      <c r="J14" s="6"/>
      <c r="K14" s="6"/>
    </row>
    <row r="15" spans="1:11" ht="15" customHeight="1" thickBot="1">
      <c r="A15" s="263"/>
      <c r="B15" s="922">
        <v>2002</v>
      </c>
      <c r="C15" s="923">
        <v>1077</v>
      </c>
      <c r="D15" s="924">
        <v>79735.03</v>
      </c>
      <c r="E15" s="924">
        <v>56148.49</v>
      </c>
      <c r="F15" s="263"/>
      <c r="H15" s="6"/>
      <c r="I15" s="6"/>
      <c r="J15" s="6"/>
      <c r="K15" s="6"/>
    </row>
    <row r="16" spans="1:11" ht="15" customHeight="1" thickBot="1">
      <c r="A16" s="263"/>
      <c r="B16" s="919">
        <v>2003</v>
      </c>
      <c r="C16" s="920">
        <v>1182</v>
      </c>
      <c r="D16" s="921">
        <v>84331.48</v>
      </c>
      <c r="E16" s="921">
        <v>60242.55</v>
      </c>
      <c r="F16" s="263"/>
      <c r="H16" s="6"/>
      <c r="I16" s="6"/>
      <c r="J16" s="6"/>
      <c r="K16" s="6"/>
    </row>
    <row r="17" spans="1:11" ht="15" customHeight="1" thickBot="1">
      <c r="A17" s="263"/>
      <c r="B17" s="922">
        <v>2004</v>
      </c>
      <c r="C17" s="923">
        <v>1300</v>
      </c>
      <c r="D17" s="924">
        <v>88718.3</v>
      </c>
      <c r="E17" s="924">
        <v>64541.94</v>
      </c>
      <c r="F17" s="263"/>
      <c r="H17" s="6"/>
      <c r="I17" s="6"/>
      <c r="J17" s="6"/>
      <c r="K17" s="6"/>
    </row>
    <row r="18" spans="1:11" ht="15" customHeight="1" thickBot="1">
      <c r="A18" s="263"/>
      <c r="B18" s="919">
        <v>2005</v>
      </c>
      <c r="C18" s="920">
        <v>1433</v>
      </c>
      <c r="D18" s="921">
        <v>95774.27</v>
      </c>
      <c r="E18" s="921">
        <v>71784.84</v>
      </c>
      <c r="F18" s="263"/>
      <c r="H18" s="6"/>
      <c r="I18" s="6"/>
      <c r="J18" s="6"/>
      <c r="K18" s="6"/>
    </row>
    <row r="19" spans="1:11" ht="15" customHeight="1" thickBot="1">
      <c r="A19" s="263"/>
      <c r="B19" s="922">
        <v>2006</v>
      </c>
      <c r="C19" s="923">
        <v>1593</v>
      </c>
      <c r="D19" s="924">
        <v>99764.2</v>
      </c>
      <c r="E19" s="924">
        <v>74388.3</v>
      </c>
      <c r="F19" s="263"/>
      <c r="H19" s="6"/>
      <c r="I19" s="6"/>
      <c r="J19" s="6"/>
      <c r="K19" s="6"/>
    </row>
    <row r="20" spans="1:11" ht="15" customHeight="1" thickBot="1">
      <c r="A20" s="263"/>
      <c r="B20" s="919">
        <v>2007</v>
      </c>
      <c r="C20" s="920">
        <v>1710</v>
      </c>
      <c r="D20" s="921">
        <v>106266.7</v>
      </c>
      <c r="E20" s="921">
        <v>79388.3</v>
      </c>
      <c r="F20" s="263"/>
      <c r="H20" s="6"/>
      <c r="I20" s="6"/>
      <c r="J20" s="6"/>
      <c r="K20" s="6"/>
    </row>
    <row r="21" spans="1:11" ht="15" customHeight="1" thickBot="1">
      <c r="A21" s="263"/>
      <c r="B21" s="922">
        <v>2008</v>
      </c>
      <c r="C21" s="923">
        <v>1833</v>
      </c>
      <c r="D21" s="924">
        <v>113023.96999999997</v>
      </c>
      <c r="E21" s="924">
        <v>83639.609999999986</v>
      </c>
      <c r="F21" s="263"/>
      <c r="H21" s="6"/>
      <c r="I21" s="6"/>
      <c r="J21" s="6"/>
      <c r="K21" s="6"/>
    </row>
    <row r="22" spans="1:11" ht="15" customHeight="1" thickBot="1">
      <c r="A22" s="263"/>
      <c r="B22" s="928">
        <v>2009</v>
      </c>
      <c r="C22" s="929">
        <v>2029</v>
      </c>
      <c r="D22" s="930">
        <v>120860.89000000004</v>
      </c>
      <c r="E22" s="930">
        <v>88127.08</v>
      </c>
      <c r="F22" s="263"/>
      <c r="G22" s="137"/>
      <c r="H22" s="6"/>
      <c r="I22" s="6"/>
      <c r="J22" s="6"/>
      <c r="K22" s="6"/>
    </row>
    <row r="23" spans="1:11" ht="12" customHeight="1">
      <c r="A23" s="263"/>
      <c r="B23" s="873" t="s">
        <v>547</v>
      </c>
      <c r="C23" s="271"/>
      <c r="D23" s="271"/>
      <c r="E23" s="271"/>
      <c r="F23" s="263"/>
      <c r="H23" s="6"/>
      <c r="I23" s="6"/>
      <c r="J23" s="6"/>
      <c r="K23" s="6"/>
    </row>
    <row r="24" spans="1:11" ht="12" customHeight="1">
      <c r="A24" s="263"/>
      <c r="B24" s="870" t="s">
        <v>580</v>
      </c>
      <c r="C24" s="302"/>
      <c r="D24" s="302"/>
      <c r="E24" s="302"/>
      <c r="F24" s="263"/>
      <c r="H24" s="6"/>
      <c r="I24" s="6"/>
      <c r="J24" s="6"/>
      <c r="K24" s="6"/>
    </row>
    <row r="25" spans="1:11" ht="9" customHeight="1">
      <c r="B25" s="10"/>
      <c r="C25" s="10"/>
      <c r="D25" s="10"/>
      <c r="E25" s="10"/>
      <c r="F25" s="7"/>
      <c r="H25" s="6"/>
      <c r="I25" s="6"/>
      <c r="J25" s="6"/>
      <c r="K25" s="6"/>
    </row>
    <row r="26" spans="1:11" ht="13.5">
      <c r="H26" s="6"/>
      <c r="I26" s="6"/>
      <c r="J26" s="6"/>
      <c r="K26" s="6"/>
    </row>
    <row r="27" spans="1:11" ht="13.5">
      <c r="H27" s="6"/>
      <c r="I27" s="6"/>
      <c r="J27" s="6"/>
      <c r="K27" s="6"/>
    </row>
    <row r="31" spans="1:11">
      <c r="B31" s="237"/>
    </row>
    <row r="34" spans="2:2">
      <c r="B34" s="235"/>
    </row>
    <row r="42" spans="2:2">
      <c r="B42" s="235"/>
    </row>
    <row r="49" spans="2:2">
      <c r="B49" s="242"/>
    </row>
  </sheetData>
  <sheetProtection password="CF4C" sheet="1" objects="1" scenarios="1"/>
  <customSheetViews>
    <customSheetView guid="{E9B43C8C-734F-433D-AD37-344F9303B5CC}" showPageBreaks="1" showGridLines="0" showRuler="0" topLeftCell="A12">
      <selection activeCell="B24" sqref="B24:I24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1"/>
      <headerFooter alignWithMargins="0"/>
    </customSheetView>
    <customSheetView guid="{9BF398E0-33D8-4E64-94A2-9B7C822C8383}" showGridLines="0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2"/>
      <headerFooter alignWithMargins="0"/>
    </customSheetView>
    <customSheetView guid="{9E220BD5-A526-40BD-8239-3A0461590922}" showPageBreaks="1" showGridLines="0" showRuler="0">
      <selection activeCell="G22" sqref="G22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3"/>
      <headerFooter alignWithMargins="0"/>
    </customSheetView>
  </customSheetViews>
  <mergeCells count="3">
    <mergeCell ref="B2:E2"/>
    <mergeCell ref="B3:B4"/>
    <mergeCell ref="C3:E3"/>
  </mergeCells>
  <phoneticPr fontId="9" type="noConversion"/>
  <printOptions horizontalCentered="1"/>
  <pageMargins left="0.19685039370078741" right="0.19685039370078741" top="0.59055118110236227" bottom="0.59055118110236227" header="0.39370078740157483" footer="0.39370078740157483"/>
  <pageSetup orientation="portrait" r:id="rId4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7" enableFormatConditionsCalculation="0">
    <tabColor rgb="FFD8C57E"/>
    <pageSetUpPr fitToPage="1"/>
  </sheetPr>
  <dimension ref="A1:N45"/>
  <sheetViews>
    <sheetView showGridLines="0" zoomScaleNormal="100" workbookViewId="0">
      <selection activeCell="I10" sqref="I10"/>
    </sheetView>
  </sheetViews>
  <sheetFormatPr baseColWidth="10" defaultRowHeight="12.75"/>
  <cols>
    <col min="1" max="1" width="1.7109375" customWidth="1"/>
    <col min="2" max="2" width="24.7109375" customWidth="1"/>
    <col min="3" max="3" width="12.85546875" customWidth="1"/>
    <col min="4" max="5" width="18.7109375" customWidth="1"/>
    <col min="6" max="6" width="20" customWidth="1"/>
    <col min="9" max="10" width="16.85546875" customWidth="1"/>
    <col min="11" max="14" width="18" customWidth="1"/>
  </cols>
  <sheetData>
    <row r="1" spans="1:14" s="46" customFormat="1" ht="12" customHeight="1">
      <c r="A1" s="261"/>
      <c r="B1" s="259"/>
      <c r="C1" s="260"/>
      <c r="D1" s="260"/>
      <c r="E1" s="260"/>
      <c r="F1" s="261"/>
      <c r="K1" s="45"/>
      <c r="L1" s="45"/>
      <c r="M1" s="45"/>
      <c r="N1" s="45"/>
    </row>
    <row r="2" spans="1:14" ht="36" customHeight="1" thickBot="1">
      <c r="A2" s="263"/>
      <c r="B2" s="1371" t="s">
        <v>566</v>
      </c>
      <c r="C2" s="1371"/>
      <c r="D2" s="1371"/>
      <c r="E2" s="1371"/>
      <c r="F2" s="1372"/>
    </row>
    <row r="3" spans="1:14" ht="15" customHeight="1" thickBot="1">
      <c r="A3" s="263"/>
      <c r="B3" s="1367" t="s">
        <v>230</v>
      </c>
      <c r="C3" s="1368" t="s">
        <v>305</v>
      </c>
      <c r="D3" s="1369"/>
      <c r="E3" s="1369"/>
      <c r="F3" s="1370"/>
    </row>
    <row r="4" spans="1:14" ht="32.25" customHeight="1" thickBot="1">
      <c r="A4" s="263"/>
      <c r="B4" s="1367"/>
      <c r="C4" s="925" t="s">
        <v>499</v>
      </c>
      <c r="D4" s="925" t="s">
        <v>183</v>
      </c>
      <c r="E4" s="925" t="s">
        <v>195</v>
      </c>
      <c r="F4" s="925" t="s">
        <v>484</v>
      </c>
    </row>
    <row r="5" spans="1:14" ht="15" customHeight="1" thickBot="1">
      <c r="A5" s="263"/>
      <c r="B5" s="915" t="s">
        <v>6</v>
      </c>
      <c r="C5" s="944">
        <v>117</v>
      </c>
      <c r="D5" s="924">
        <v>4099.4799999999996</v>
      </c>
      <c r="E5" s="924">
        <v>3354.22</v>
      </c>
      <c r="F5" s="1002">
        <v>1</v>
      </c>
    </row>
    <row r="6" spans="1:14" ht="15" customHeight="1" thickBot="1">
      <c r="A6" s="263"/>
      <c r="B6" s="946" t="s">
        <v>7</v>
      </c>
      <c r="C6" s="947">
        <v>31</v>
      </c>
      <c r="D6" s="921">
        <v>7233.6</v>
      </c>
      <c r="E6" s="921">
        <v>5620.03</v>
      </c>
      <c r="F6" s="1003">
        <v>1</v>
      </c>
    </row>
    <row r="7" spans="1:14" ht="15" customHeight="1" thickBot="1">
      <c r="A7" s="263"/>
      <c r="B7" s="915" t="s">
        <v>8</v>
      </c>
      <c r="C7" s="944">
        <v>23</v>
      </c>
      <c r="D7" s="924">
        <v>1447.47</v>
      </c>
      <c r="E7" s="924">
        <v>1062.77</v>
      </c>
      <c r="F7" s="1002">
        <v>0.58935894259322152</v>
      </c>
    </row>
    <row r="8" spans="1:14" ht="15" customHeight="1" thickBot="1">
      <c r="A8" s="263"/>
      <c r="B8" s="946" t="s">
        <v>9</v>
      </c>
      <c r="C8" s="947">
        <v>21</v>
      </c>
      <c r="D8" s="921">
        <v>140.5</v>
      </c>
      <c r="E8" s="921">
        <v>97.3</v>
      </c>
      <c r="F8" s="1003">
        <v>6.1081449256256456E-2</v>
      </c>
    </row>
    <row r="9" spans="1:14" ht="15" customHeight="1" thickBot="1">
      <c r="A9" s="263"/>
      <c r="B9" s="915" t="s">
        <v>12</v>
      </c>
      <c r="C9" s="944">
        <v>28</v>
      </c>
      <c r="D9" s="924">
        <v>1417.08</v>
      </c>
      <c r="E9" s="924">
        <v>969.41</v>
      </c>
      <c r="F9" s="1002">
        <v>0.21089280836596835</v>
      </c>
    </row>
    <row r="10" spans="1:14" ht="15" customHeight="1" thickBot="1">
      <c r="A10" s="263"/>
      <c r="B10" s="946" t="s">
        <v>13</v>
      </c>
      <c r="C10" s="947">
        <v>140</v>
      </c>
      <c r="D10" s="921">
        <v>9000.4</v>
      </c>
      <c r="E10" s="921">
        <v>5937.25</v>
      </c>
      <c r="F10" s="1003">
        <v>0.71630663460656441</v>
      </c>
    </row>
    <row r="11" spans="1:14" ht="15" customHeight="1" thickBot="1">
      <c r="A11" s="263"/>
      <c r="B11" s="915" t="s">
        <v>223</v>
      </c>
      <c r="C11" s="944">
        <v>23</v>
      </c>
      <c r="D11" s="924">
        <v>5206.5</v>
      </c>
      <c r="E11" s="924">
        <v>4026</v>
      </c>
      <c r="F11" s="1002">
        <v>0.49810681366137732</v>
      </c>
    </row>
    <row r="12" spans="1:14" ht="15" customHeight="1" thickBot="1">
      <c r="A12" s="263"/>
      <c r="B12" s="946" t="s">
        <v>11</v>
      </c>
      <c r="C12" s="947">
        <v>69</v>
      </c>
      <c r="D12" s="921">
        <v>1592.8</v>
      </c>
      <c r="E12" s="921">
        <v>1145.9000000000001</v>
      </c>
      <c r="F12" s="1003">
        <v>0.43906296828130803</v>
      </c>
    </row>
    <row r="13" spans="1:14" ht="15" customHeight="1" thickBot="1">
      <c r="A13" s="263"/>
      <c r="B13" s="915" t="s">
        <v>14</v>
      </c>
      <c r="C13" s="944">
        <v>28</v>
      </c>
      <c r="D13" s="924">
        <v>6770.5</v>
      </c>
      <c r="E13" s="924">
        <v>3329.8</v>
      </c>
      <c r="F13" s="1002">
        <v>0.14387843170065528</v>
      </c>
    </row>
    <row r="14" spans="1:14" ht="15" customHeight="1" thickBot="1">
      <c r="A14" s="263"/>
      <c r="B14" s="946" t="s">
        <v>15</v>
      </c>
      <c r="C14" s="947">
        <v>174</v>
      </c>
      <c r="D14" s="921">
        <v>4156.91</v>
      </c>
      <c r="E14" s="921">
        <v>3208.06</v>
      </c>
      <c r="F14" s="1003">
        <v>0.67733325255032628</v>
      </c>
    </row>
    <row r="15" spans="1:14" ht="15" customHeight="1" thickBot="1">
      <c r="A15" s="263"/>
      <c r="B15" s="915" t="s">
        <v>16</v>
      </c>
      <c r="C15" s="944">
        <v>60</v>
      </c>
      <c r="D15" s="924">
        <v>5875.35</v>
      </c>
      <c r="E15" s="924">
        <v>4415.6099999999997</v>
      </c>
      <c r="F15" s="1002">
        <v>0.53581658038642965</v>
      </c>
    </row>
    <row r="16" spans="1:14" ht="15" customHeight="1" thickBot="1">
      <c r="A16" s="263"/>
      <c r="B16" s="946" t="s">
        <v>17</v>
      </c>
      <c r="C16" s="947">
        <v>47</v>
      </c>
      <c r="D16" s="921">
        <v>3500.97</v>
      </c>
      <c r="E16" s="921">
        <v>2694.5</v>
      </c>
      <c r="F16" s="1003">
        <v>0.72503944014088828</v>
      </c>
    </row>
    <row r="17" spans="1:6" ht="15" customHeight="1" thickBot="1">
      <c r="A17" s="263"/>
      <c r="B17" s="915" t="s">
        <v>18</v>
      </c>
      <c r="C17" s="944">
        <v>12</v>
      </c>
      <c r="D17" s="924">
        <v>329.5</v>
      </c>
      <c r="E17" s="924">
        <v>289.2</v>
      </c>
      <c r="F17" s="1002">
        <v>7.6782158502588613E-2</v>
      </c>
    </row>
    <row r="18" spans="1:6" ht="15" customHeight="1" thickBot="1">
      <c r="A18" s="263"/>
      <c r="B18" s="946" t="s">
        <v>19</v>
      </c>
      <c r="C18" s="947">
        <v>122</v>
      </c>
      <c r="D18" s="921">
        <v>4201.6000000000004</v>
      </c>
      <c r="E18" s="921">
        <v>3530.3</v>
      </c>
      <c r="F18" s="1003">
        <v>0.24142227894372517</v>
      </c>
    </row>
    <row r="19" spans="1:6" ht="15" customHeight="1" thickBot="1">
      <c r="A19" s="263"/>
      <c r="B19" s="915" t="s">
        <v>20</v>
      </c>
      <c r="C19" s="944">
        <v>78</v>
      </c>
      <c r="D19" s="924">
        <v>7090.2</v>
      </c>
      <c r="E19" s="924">
        <v>5190.3</v>
      </c>
      <c r="F19" s="1002">
        <v>0.22243672436200806</v>
      </c>
    </row>
    <row r="20" spans="1:6" ht="15" customHeight="1" thickBot="1">
      <c r="A20" s="263"/>
      <c r="B20" s="946" t="s">
        <v>224</v>
      </c>
      <c r="C20" s="947">
        <v>25</v>
      </c>
      <c r="D20" s="921">
        <v>3583</v>
      </c>
      <c r="E20" s="921">
        <v>2793.1</v>
      </c>
      <c r="F20" s="1003">
        <v>0.30442131751654145</v>
      </c>
    </row>
    <row r="21" spans="1:6" ht="15" customHeight="1" thickBot="1">
      <c r="A21" s="263"/>
      <c r="B21" s="915" t="s">
        <v>22</v>
      </c>
      <c r="C21" s="944">
        <v>38</v>
      </c>
      <c r="D21" s="924">
        <v>1905.2</v>
      </c>
      <c r="E21" s="924">
        <v>1366.1</v>
      </c>
      <c r="F21" s="1002">
        <v>0.20372712142785929</v>
      </c>
    </row>
    <row r="22" spans="1:6" ht="15" customHeight="1" thickBot="1">
      <c r="A22" s="263"/>
      <c r="B22" s="946" t="s">
        <v>23</v>
      </c>
      <c r="C22" s="947">
        <v>63</v>
      </c>
      <c r="D22" s="921">
        <v>2293.6</v>
      </c>
      <c r="E22" s="921">
        <v>1428.3999999999999</v>
      </c>
      <c r="F22" s="1003">
        <v>0.70327047703278589</v>
      </c>
    </row>
    <row r="23" spans="1:6" ht="15" customHeight="1" thickBot="1">
      <c r="A23" s="263"/>
      <c r="B23" s="915" t="s">
        <v>24</v>
      </c>
      <c r="C23" s="944">
        <v>61</v>
      </c>
      <c r="D23" s="924">
        <v>13249</v>
      </c>
      <c r="E23" s="924">
        <v>10877.15</v>
      </c>
      <c r="F23" s="1002">
        <v>1</v>
      </c>
    </row>
    <row r="24" spans="1:6" ht="15" customHeight="1" thickBot="1">
      <c r="A24" s="263"/>
      <c r="B24" s="946" t="s">
        <v>25</v>
      </c>
      <c r="C24" s="947">
        <v>66</v>
      </c>
      <c r="D24" s="921">
        <v>1510.3</v>
      </c>
      <c r="E24" s="921">
        <v>986.1</v>
      </c>
      <c r="F24" s="1003">
        <v>0.44055977638667237</v>
      </c>
    </row>
    <row r="25" spans="1:6" ht="15" customHeight="1" thickBot="1">
      <c r="A25" s="263"/>
      <c r="B25" s="915" t="s">
        <v>36</v>
      </c>
      <c r="C25" s="944">
        <v>72</v>
      </c>
      <c r="D25" s="924">
        <v>3152.19</v>
      </c>
      <c r="E25" s="924">
        <v>2545.29</v>
      </c>
      <c r="F25" s="1002">
        <v>0.44761177324784945</v>
      </c>
    </row>
    <row r="26" spans="1:6" ht="15.75" customHeight="1" thickBot="1">
      <c r="A26" s="263"/>
      <c r="B26" s="946" t="s">
        <v>225</v>
      </c>
      <c r="C26" s="947">
        <v>75</v>
      </c>
      <c r="D26" s="921">
        <v>1202</v>
      </c>
      <c r="E26" s="921">
        <v>800.45</v>
      </c>
      <c r="F26" s="1003">
        <v>0.26456953299162411</v>
      </c>
    </row>
    <row r="27" spans="1:6" ht="15" customHeight="1" thickBot="1">
      <c r="A27" s="263"/>
      <c r="B27" s="915" t="s">
        <v>27</v>
      </c>
      <c r="C27" s="944">
        <v>31</v>
      </c>
      <c r="D27" s="924">
        <v>2211.5</v>
      </c>
      <c r="E27" s="924">
        <v>1725.1799999999998</v>
      </c>
      <c r="F27" s="1002">
        <v>0.69202751862883505</v>
      </c>
    </row>
    <row r="28" spans="1:6" ht="15" customHeight="1" thickBot="1">
      <c r="A28" s="263"/>
      <c r="B28" s="946" t="s">
        <v>28</v>
      </c>
      <c r="C28" s="947">
        <v>30</v>
      </c>
      <c r="D28" s="921">
        <v>2333.7399999999998</v>
      </c>
      <c r="E28" s="921">
        <v>1906.22</v>
      </c>
      <c r="F28" s="1003">
        <v>0.62978691012445021</v>
      </c>
    </row>
    <row r="29" spans="1:6" ht="15" customHeight="1" thickBot="1">
      <c r="A29" s="263"/>
      <c r="B29" s="915" t="s">
        <v>29</v>
      </c>
      <c r="C29" s="944">
        <v>162</v>
      </c>
      <c r="D29" s="924">
        <v>5497.44</v>
      </c>
      <c r="E29" s="924">
        <v>4574.3100000000004</v>
      </c>
      <c r="F29" s="1002">
        <v>0.69387962655584812</v>
      </c>
    </row>
    <row r="30" spans="1:6" ht="15" customHeight="1" thickBot="1">
      <c r="A30" s="263"/>
      <c r="B30" s="946" t="s">
        <v>37</v>
      </c>
      <c r="C30" s="947">
        <v>83</v>
      </c>
      <c r="D30" s="921">
        <v>4672.21</v>
      </c>
      <c r="E30" s="921">
        <v>2826.43</v>
      </c>
      <c r="F30" s="1003">
        <v>0.36723375317659185</v>
      </c>
    </row>
    <row r="31" spans="1:6" ht="15" customHeight="1" thickBot="1">
      <c r="A31" s="263"/>
      <c r="B31" s="915" t="s">
        <v>30</v>
      </c>
      <c r="C31" s="944">
        <v>73</v>
      </c>
      <c r="D31" s="924">
        <v>1930</v>
      </c>
      <c r="E31" s="924">
        <v>1396.46</v>
      </c>
      <c r="F31" s="1002">
        <v>0.19519542656469785</v>
      </c>
    </row>
    <row r="32" spans="1:6" ht="15" customHeight="1" thickBot="1">
      <c r="A32" s="263"/>
      <c r="B32" s="946" t="s">
        <v>31</v>
      </c>
      <c r="C32" s="947">
        <v>42</v>
      </c>
      <c r="D32" s="921">
        <v>6113.93</v>
      </c>
      <c r="E32" s="921">
        <v>4320.7</v>
      </c>
      <c r="F32" s="1003">
        <v>0.64753079248630696</v>
      </c>
    </row>
    <row r="33" spans="1:14" ht="15" customHeight="1" thickBot="1">
      <c r="A33" s="263"/>
      <c r="B33" s="915" t="s">
        <v>32</v>
      </c>
      <c r="C33" s="944">
        <v>55</v>
      </c>
      <c r="D33" s="924">
        <v>1295.9100000000001</v>
      </c>
      <c r="E33" s="924">
        <v>890.63</v>
      </c>
      <c r="F33" s="1002">
        <v>0.58448176341330194</v>
      </c>
    </row>
    <row r="34" spans="1:14" ht="15" customHeight="1" thickBot="1">
      <c r="A34" s="263"/>
      <c r="B34" s="946" t="s">
        <v>262</v>
      </c>
      <c r="C34" s="947">
        <v>105</v>
      </c>
      <c r="D34" s="921">
        <v>6799.92</v>
      </c>
      <c r="E34" s="921">
        <v>4093.29</v>
      </c>
      <c r="F34" s="1003">
        <v>0.32940923409285028</v>
      </c>
    </row>
    <row r="35" spans="1:14" ht="15" customHeight="1" thickBot="1">
      <c r="A35" s="263"/>
      <c r="B35" s="915" t="s">
        <v>34</v>
      </c>
      <c r="C35" s="944">
        <v>20</v>
      </c>
      <c r="D35" s="924">
        <v>300.57</v>
      </c>
      <c r="E35" s="924">
        <v>81.990000000000009</v>
      </c>
      <c r="F35" s="1002">
        <v>2.3911727721421989E-2</v>
      </c>
      <c r="G35" s="188"/>
    </row>
    <row r="36" spans="1:14" ht="15" customHeight="1" thickBot="1">
      <c r="A36" s="263"/>
      <c r="B36" s="946" t="s">
        <v>35</v>
      </c>
      <c r="C36" s="947">
        <v>55</v>
      </c>
      <c r="D36" s="921">
        <v>747.52</v>
      </c>
      <c r="E36" s="921">
        <v>644.63</v>
      </c>
      <c r="F36" s="1003">
        <v>0.1613391588175008</v>
      </c>
    </row>
    <row r="37" spans="1:14" ht="18" customHeight="1" thickBot="1">
      <c r="A37" s="263"/>
      <c r="B37" s="935" t="s">
        <v>52</v>
      </c>
      <c r="C37" s="936">
        <v>2029</v>
      </c>
      <c r="D37" s="937">
        <v>120860.89000000004</v>
      </c>
      <c r="E37" s="937">
        <v>88127.08</v>
      </c>
      <c r="F37" s="1001">
        <v>0.42147144752162136</v>
      </c>
      <c r="G37" s="137"/>
    </row>
    <row r="38" spans="1:14">
      <c r="A38" s="263"/>
      <c r="B38" s="871" t="s">
        <v>648</v>
      </c>
      <c r="C38" s="273"/>
      <c r="D38" s="273"/>
      <c r="E38" s="273"/>
      <c r="F38" s="263"/>
      <c r="K38" s="10"/>
      <c r="L38" s="10"/>
      <c r="M38" s="10"/>
      <c r="N38" s="10"/>
    </row>
    <row r="45" spans="1:14">
      <c r="B45" s="242"/>
    </row>
  </sheetData>
  <sheetProtection password="CF4C" sheet="1" objects="1" scenarios="1"/>
  <customSheetViews>
    <customSheetView guid="{E9B43C8C-734F-433D-AD37-344F9303B5CC}" showPageBreaks="1" showGridLines="0" showRuler="0" topLeftCell="A25">
      <pane ySplit="17.944444444444443" topLeftCell="A33" activePane="bottomLeft"/>
      <selection pane="bottomLeft" activeCell="B41" sqref="B41:I41"/>
      <pageMargins left="0.19685039370078741" right="0.19685039370078741" top="0.39370078740157483" bottom="0.39370078740157483" header="0.39370078740157483" footer="0.39370078740157483"/>
      <printOptions horizontalCentered="1"/>
      <pageSetup scale="90" orientation="landscape" r:id="rId1"/>
      <headerFooter alignWithMargins="0"/>
    </customSheetView>
    <customSheetView guid="{9BF398E0-33D8-4E64-94A2-9B7C822C8383}" showGridLines="0" showRuler="0">
      <pane ySplit="16" topLeftCell="A33"/>
      <pageMargins left="0.19685039370078741" right="0.19685039370078741" top="0.39370078740157483" bottom="0.39370078740157483" header="0.39370078740157483" footer="0.39370078740157483"/>
      <printOptions horizontalCentered="1"/>
      <pageSetup scale="90" orientation="landscape" r:id="rId2"/>
      <headerFooter alignWithMargins="0"/>
    </customSheetView>
    <customSheetView guid="{9E220BD5-A526-40BD-8239-3A0461590922}" showPageBreaks="1" showGridLines="0" showRuler="0" topLeftCell="A4">
      <selection activeCell="F7" sqref="F7"/>
      <colBreaks count="3" manualBreakCount="3">
        <brk id="11" max="1048575" man="1"/>
        <brk id="24" max="1048575" man="1"/>
        <brk id="37" max="1048575" man="1"/>
      </colBreaks>
      <pageMargins left="0.19685039370078741" right="0.19685039370078741" top="0.39370078740157483" bottom="0.39370078740157483" header="0.39370078740157483" footer="0.39370078740157483"/>
      <printOptions horizontalCentered="1"/>
      <pageSetup scale="90" orientation="landscape" r:id="rId3"/>
      <headerFooter alignWithMargins="0"/>
    </customSheetView>
  </customSheetViews>
  <mergeCells count="3">
    <mergeCell ref="B3:B4"/>
    <mergeCell ref="C3:F3"/>
    <mergeCell ref="B2:F2"/>
  </mergeCells>
  <phoneticPr fontId="9" type="noConversion"/>
  <printOptions horizontalCentered="1"/>
  <pageMargins left="0.19685039370078741" right="0.19685039370078741" top="0.39370078740157483" bottom="0.39370078740157483" header="0.39370078740157483" footer="0.39370078740157483"/>
  <pageSetup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/>
  <dimension ref="A1:J49"/>
  <sheetViews>
    <sheetView showGridLines="0" workbookViewId="0">
      <selection activeCell="A4" sqref="A4"/>
    </sheetView>
  </sheetViews>
  <sheetFormatPr baseColWidth="10" defaultRowHeight="12.75"/>
  <cols>
    <col min="1" max="1" width="1.7109375" customWidth="1"/>
    <col min="2" max="7" width="12.7109375" customWidth="1"/>
    <col min="8" max="8" width="1.7109375" customWidth="1"/>
  </cols>
  <sheetData>
    <row r="1" spans="1:8" s="46" customFormat="1" ht="15" customHeight="1">
      <c r="A1" s="43"/>
      <c r="B1" s="44"/>
      <c r="C1" s="45"/>
      <c r="D1" s="45"/>
      <c r="E1" s="45"/>
      <c r="F1" s="45"/>
      <c r="G1" s="45"/>
    </row>
    <row r="2" spans="1:8" ht="15" customHeight="1">
      <c r="A2" s="37"/>
      <c r="B2" s="128" t="s">
        <v>203</v>
      </c>
      <c r="C2" s="38"/>
      <c r="D2" s="38"/>
      <c r="E2" s="6"/>
      <c r="F2" s="6"/>
      <c r="G2" s="6"/>
    </row>
    <row r="3" spans="1:8" ht="15" customHeight="1">
      <c r="A3" s="5"/>
      <c r="B3" s="128" t="s">
        <v>112</v>
      </c>
      <c r="C3" s="6"/>
      <c r="D3" s="6"/>
      <c r="E3" s="6"/>
      <c r="F3" s="6"/>
      <c r="G3" s="6"/>
    </row>
    <row r="4" spans="1:8" ht="9" customHeight="1" thickBot="1">
      <c r="A4" s="5"/>
      <c r="B4" s="8"/>
      <c r="C4" s="8"/>
      <c r="D4" s="8"/>
      <c r="E4" s="8"/>
      <c r="F4" s="8"/>
      <c r="G4" s="8"/>
    </row>
    <row r="5" spans="1:8" ht="21" customHeight="1" thickTop="1" thickBot="1">
      <c r="A5" s="5"/>
      <c r="B5" s="126" t="s">
        <v>0</v>
      </c>
      <c r="C5" s="75" t="s">
        <v>1</v>
      </c>
      <c r="D5" s="76" t="s">
        <v>2</v>
      </c>
      <c r="E5" s="76" t="s">
        <v>3</v>
      </c>
      <c r="F5" s="77" t="s">
        <v>93</v>
      </c>
      <c r="G5" s="127" t="s">
        <v>4</v>
      </c>
    </row>
    <row r="6" spans="1:8" ht="4.5" customHeight="1" thickTop="1" thickBot="1">
      <c r="A6" s="5"/>
      <c r="B6" s="5"/>
      <c r="C6" s="5"/>
      <c r="D6" s="5"/>
      <c r="E6" s="5"/>
      <c r="F6" s="5"/>
      <c r="G6" s="5"/>
    </row>
    <row r="7" spans="1:8" ht="15" customHeight="1" thickTop="1">
      <c r="A7" s="5"/>
      <c r="B7" s="123">
        <v>1991</v>
      </c>
      <c r="C7" s="202">
        <f>998*1</f>
        <v>998</v>
      </c>
      <c r="D7" s="203">
        <f>729*1</f>
        <v>729</v>
      </c>
      <c r="E7" s="204" t="s">
        <v>98</v>
      </c>
      <c r="F7" s="205">
        <f>836*1</f>
        <v>836</v>
      </c>
      <c r="G7" s="206">
        <f>C7+D7+F7</f>
        <v>2563</v>
      </c>
      <c r="H7" s="1"/>
    </row>
    <row r="8" spans="1:8" ht="15" customHeight="1">
      <c r="A8" s="5"/>
      <c r="B8" s="124">
        <v>1992</v>
      </c>
      <c r="C8" s="207">
        <f>1271*1</f>
        <v>1271</v>
      </c>
      <c r="D8" s="208">
        <f>626*1</f>
        <v>626</v>
      </c>
      <c r="E8" s="209" t="s">
        <v>98</v>
      </c>
      <c r="F8" s="210">
        <f>563*1</f>
        <v>563</v>
      </c>
      <c r="G8" s="211">
        <f>C8+D8+F8</f>
        <v>2460</v>
      </c>
      <c r="H8" s="1"/>
    </row>
    <row r="9" spans="1:8" ht="15" customHeight="1">
      <c r="A9" s="5"/>
      <c r="B9" s="124">
        <v>1993</v>
      </c>
      <c r="C9" s="207">
        <f>1569*1</f>
        <v>1569</v>
      </c>
      <c r="D9" s="208">
        <f>906*1</f>
        <v>906</v>
      </c>
      <c r="E9" s="208">
        <f>102*1</f>
        <v>102</v>
      </c>
      <c r="F9" s="210">
        <f>578*1</f>
        <v>578</v>
      </c>
      <c r="G9" s="211">
        <f t="shared" ref="G9:G17" si="0">C9+D9+E9+F9</f>
        <v>3155</v>
      </c>
      <c r="H9" s="1"/>
    </row>
    <row r="10" spans="1:8" ht="15" customHeight="1">
      <c r="A10" s="5"/>
      <c r="B10" s="124">
        <v>1994</v>
      </c>
      <c r="C10" s="207">
        <f>1424*1</f>
        <v>1424</v>
      </c>
      <c r="D10" s="208">
        <f>427*1</f>
        <v>427</v>
      </c>
      <c r="E10" s="208">
        <f>127*1</f>
        <v>127</v>
      </c>
      <c r="F10" s="210">
        <f>352*1</f>
        <v>352</v>
      </c>
      <c r="G10" s="211">
        <f t="shared" si="0"/>
        <v>2330</v>
      </c>
      <c r="H10" s="1"/>
    </row>
    <row r="11" spans="1:8" ht="15" customHeight="1">
      <c r="A11" s="5"/>
      <c r="B11" s="124">
        <v>1995</v>
      </c>
      <c r="C11" s="207">
        <f>545*1</f>
        <v>545</v>
      </c>
      <c r="D11" s="208">
        <f>672*1</f>
        <v>672</v>
      </c>
      <c r="E11" s="208">
        <f>432*1</f>
        <v>432</v>
      </c>
      <c r="F11" s="210">
        <f>595*1</f>
        <v>595</v>
      </c>
      <c r="G11" s="211">
        <f t="shared" si="0"/>
        <v>2244</v>
      </c>
      <c r="H11" s="1"/>
    </row>
    <row r="12" spans="1:8" ht="15" customHeight="1">
      <c r="A12" s="5"/>
      <c r="B12" s="124">
        <v>1996</v>
      </c>
      <c r="C12" s="207">
        <f>1178*1</f>
        <v>1178</v>
      </c>
      <c r="D12" s="208">
        <f>346*1</f>
        <v>346</v>
      </c>
      <c r="E12" s="208">
        <f>171*1</f>
        <v>171</v>
      </c>
      <c r="F12" s="210">
        <f>50*1</f>
        <v>50</v>
      </c>
      <c r="G12" s="211">
        <f t="shared" si="0"/>
        <v>1745</v>
      </c>
      <c r="H12" s="1"/>
    </row>
    <row r="13" spans="1:8" ht="15" customHeight="1">
      <c r="A13" s="5"/>
      <c r="B13" s="124">
        <v>1997</v>
      </c>
      <c r="C13" s="207">
        <f>1284*1</f>
        <v>1284</v>
      </c>
      <c r="D13" s="208">
        <f>512*1</f>
        <v>512</v>
      </c>
      <c r="E13" s="208">
        <f>505*1</f>
        <v>505</v>
      </c>
      <c r="F13" s="210">
        <f>109*1</f>
        <v>109</v>
      </c>
      <c r="G13" s="211">
        <f t="shared" si="0"/>
        <v>2410</v>
      </c>
      <c r="H13" s="1"/>
    </row>
    <row r="14" spans="1:8" ht="15" customHeight="1">
      <c r="A14" s="5"/>
      <c r="B14" s="124">
        <v>1998</v>
      </c>
      <c r="C14" s="207">
        <f>1708*1</f>
        <v>1708</v>
      </c>
      <c r="D14" s="208">
        <f>453*1</f>
        <v>453</v>
      </c>
      <c r="E14" s="208">
        <f>243*1</f>
        <v>243</v>
      </c>
      <c r="F14" s="210">
        <f>206*1</f>
        <v>206</v>
      </c>
      <c r="G14" s="211">
        <f t="shared" si="0"/>
        <v>2610</v>
      </c>
      <c r="H14" s="1"/>
    </row>
    <row r="15" spans="1:8" ht="15" customHeight="1">
      <c r="A15" s="5"/>
      <c r="B15" s="124">
        <v>1999</v>
      </c>
      <c r="C15" s="207">
        <f>1621*1</f>
        <v>1621</v>
      </c>
      <c r="D15" s="208">
        <f>752*1</f>
        <v>752</v>
      </c>
      <c r="E15" s="208">
        <f>205*1</f>
        <v>205</v>
      </c>
      <c r="F15" s="210">
        <f>163*1</f>
        <v>163</v>
      </c>
      <c r="G15" s="211">
        <f t="shared" si="0"/>
        <v>2741</v>
      </c>
      <c r="H15" s="1"/>
    </row>
    <row r="16" spans="1:8" ht="15" customHeight="1">
      <c r="A16" s="5"/>
      <c r="B16" s="124">
        <v>2000</v>
      </c>
      <c r="C16" s="207">
        <f>2133*1</f>
        <v>2133</v>
      </c>
      <c r="D16" s="208">
        <f>1327*1</f>
        <v>1327</v>
      </c>
      <c r="E16" s="208">
        <f>106.8*1</f>
        <v>106.8</v>
      </c>
      <c r="F16" s="210">
        <f>344.3*1</f>
        <v>344.3</v>
      </c>
      <c r="G16" s="211">
        <f t="shared" si="0"/>
        <v>3911.1000000000004</v>
      </c>
      <c r="H16" s="1"/>
    </row>
    <row r="17" spans="1:10" ht="15" customHeight="1">
      <c r="A17" s="5"/>
      <c r="B17" s="124">
        <v>2001</v>
      </c>
      <c r="C17" s="207">
        <f>1055.7*1</f>
        <v>1055.7</v>
      </c>
      <c r="D17" s="208">
        <f>744.2*1</f>
        <v>744.2</v>
      </c>
      <c r="E17" s="208">
        <f>313.7*1</f>
        <v>313.7</v>
      </c>
      <c r="F17" s="210">
        <f>611.9*1</f>
        <v>611.9</v>
      </c>
      <c r="G17" s="211">
        <f t="shared" si="0"/>
        <v>2725.5</v>
      </c>
      <c r="H17" s="1"/>
    </row>
    <row r="18" spans="1:10" ht="15" customHeight="1">
      <c r="A18" s="5"/>
      <c r="B18" s="125" t="s">
        <v>114</v>
      </c>
      <c r="C18" s="212">
        <v>1685.4444343693999</v>
      </c>
      <c r="D18" s="213">
        <v>1005.7713744969224</v>
      </c>
      <c r="E18" s="213">
        <v>695.08926243406631</v>
      </c>
      <c r="F18" s="214">
        <v>192.35842968</v>
      </c>
      <c r="G18" s="211">
        <v>3578.6635009803886</v>
      </c>
      <c r="H18" s="1"/>
    </row>
    <row r="19" spans="1:10" ht="15" customHeight="1">
      <c r="A19" s="5"/>
      <c r="B19" s="125" t="s">
        <v>187</v>
      </c>
      <c r="C19" s="212">
        <v>2293</v>
      </c>
      <c r="D19" s="213">
        <v>1146</v>
      </c>
      <c r="E19" s="213">
        <v>695</v>
      </c>
      <c r="F19" s="214">
        <v>6285</v>
      </c>
      <c r="G19" s="211">
        <v>10419</v>
      </c>
      <c r="H19" s="1"/>
      <c r="I19" s="42"/>
      <c r="J19" s="34"/>
    </row>
    <row r="20" spans="1:10" ht="15" customHeight="1">
      <c r="A20" s="5"/>
      <c r="B20" s="125" t="s">
        <v>115</v>
      </c>
      <c r="C20" s="212">
        <v>3302.14840869</v>
      </c>
      <c r="D20" s="213">
        <v>2075.5878918398807</v>
      </c>
      <c r="E20" s="213">
        <v>1828.9200122558336</v>
      </c>
      <c r="F20" s="214">
        <v>152.13214199999999</v>
      </c>
      <c r="G20" s="211">
        <f>SUM(C20:F20)</f>
        <v>7358.7884547857157</v>
      </c>
      <c r="H20" s="1"/>
    </row>
    <row r="21" spans="1:10" ht="15" customHeight="1">
      <c r="A21" s="5"/>
      <c r="B21" s="125" t="s">
        <v>189</v>
      </c>
      <c r="C21" s="212">
        <v>4237.6822999400001</v>
      </c>
      <c r="D21" s="213">
        <v>2147.5491737686311</v>
      </c>
      <c r="E21" s="213">
        <v>1926.7617790868337</v>
      </c>
      <c r="F21" s="214">
        <v>4121.4896577</v>
      </c>
      <c r="G21" s="211">
        <f>SUM(C21:F21)</f>
        <v>12433.482910495464</v>
      </c>
      <c r="H21" s="1"/>
    </row>
    <row r="22" spans="1:10" ht="15" customHeight="1">
      <c r="A22" s="5"/>
      <c r="B22" s="197" t="s">
        <v>133</v>
      </c>
      <c r="C22" s="212">
        <v>3086.1125948940003</v>
      </c>
      <c r="D22" s="213">
        <v>2572.0082378376665</v>
      </c>
      <c r="E22" s="213">
        <v>1103.907015338094</v>
      </c>
      <c r="F22" s="214">
        <v>438.55473798347623</v>
      </c>
      <c r="G22" s="211">
        <v>7200.5825860532377</v>
      </c>
      <c r="H22" s="1"/>
    </row>
    <row r="23" spans="1:10" ht="15" customHeight="1">
      <c r="A23" s="5"/>
      <c r="B23" s="198">
        <v>2004</v>
      </c>
      <c r="C23" s="215">
        <v>4071.4475795640005</v>
      </c>
      <c r="D23" s="216">
        <v>3035.4075303776663</v>
      </c>
      <c r="E23" s="216">
        <v>1386.462534168094</v>
      </c>
      <c r="F23" s="217">
        <v>4996.0458591836723</v>
      </c>
      <c r="G23" s="218">
        <v>13489.363503293433</v>
      </c>
      <c r="H23" s="1"/>
    </row>
    <row r="24" spans="1:10" ht="15" customHeight="1">
      <c r="A24" s="5"/>
      <c r="B24" s="239"/>
      <c r="C24" s="215">
        <v>6175.3</v>
      </c>
      <c r="D24" s="216">
        <v>4790.7</v>
      </c>
      <c r="E24" s="216">
        <v>2610</v>
      </c>
      <c r="F24" s="217">
        <v>907.1</v>
      </c>
      <c r="G24" s="218">
        <f>SUM(C24:F24)</f>
        <v>14483.1</v>
      </c>
      <c r="H24" s="1"/>
    </row>
    <row r="25" spans="1:10" ht="15" customHeight="1" thickBot="1">
      <c r="A25" s="5"/>
      <c r="B25" s="198" t="s">
        <v>200</v>
      </c>
      <c r="C25" s="215">
        <v>7085.3</v>
      </c>
      <c r="D25" s="216">
        <v>4988.3999999999996</v>
      </c>
      <c r="E25" s="216">
        <v>2917.8</v>
      </c>
      <c r="F25" s="217">
        <v>6615.9</v>
      </c>
      <c r="G25" s="218">
        <f>SUM(C25:F25)</f>
        <v>21607.4</v>
      </c>
      <c r="H25" s="1"/>
    </row>
    <row r="26" spans="1:10" ht="15" customHeight="1" thickBot="1">
      <c r="A26" s="5"/>
      <c r="B26" s="201" t="s">
        <v>205</v>
      </c>
      <c r="C26" s="219">
        <f>+'[4]INV fuente'!D8/1000</f>
        <v>12763.735986510001</v>
      </c>
      <c r="D26" s="220">
        <f>+'[4]INV fuente'!E8/1000</f>
        <v>5054.9509058845215</v>
      </c>
      <c r="E26" s="220">
        <f>+'[4]INV fuente'!F8/1000</f>
        <v>2947.9692713049999</v>
      </c>
      <c r="F26" s="221">
        <f>+'[4]INV fuente'!G8/1000</f>
        <v>1806.0019639700001</v>
      </c>
      <c r="G26" s="222">
        <f>SUM(C26:F26)</f>
        <v>22572.658127669521</v>
      </c>
      <c r="H26" s="1"/>
    </row>
    <row r="27" spans="1:10" ht="15" customHeight="1" thickBot="1">
      <c r="A27" s="5"/>
      <c r="B27" s="200" t="s">
        <v>199</v>
      </c>
      <c r="C27" s="223">
        <f>+'[4]INV fuente'!D26/1000</f>
        <v>0</v>
      </c>
      <c r="D27" s="224">
        <f>+'[4]INV fuente'!E26/1000</f>
        <v>0</v>
      </c>
      <c r="E27" s="224">
        <f>+'[4]INV fuente'!F26/1000</f>
        <v>0</v>
      </c>
      <c r="F27" s="225">
        <f>+'[4]INV fuente'!G26/1000</f>
        <v>0</v>
      </c>
      <c r="G27" s="226">
        <f>SUM(C27:F27)</f>
        <v>0</v>
      </c>
      <c r="H27" s="1"/>
    </row>
    <row r="28" spans="1:10" ht="6" customHeight="1" thickTop="1">
      <c r="B28" s="22"/>
      <c r="C28" s="12"/>
      <c r="D28" s="12"/>
    </row>
    <row r="29" spans="1:10" ht="10.5" customHeight="1">
      <c r="B29" s="1109" t="s">
        <v>109</v>
      </c>
      <c r="C29" s="1110"/>
      <c r="D29" s="1110"/>
      <c r="E29" s="1110"/>
      <c r="F29" s="1110"/>
      <c r="G29" s="1110"/>
      <c r="H29" s="1"/>
    </row>
    <row r="30" spans="1:10" ht="9" customHeight="1">
      <c r="B30" s="1109" t="s">
        <v>116</v>
      </c>
      <c r="C30" s="1110"/>
      <c r="D30" s="1110"/>
      <c r="E30" s="1110"/>
      <c r="F30" s="1110"/>
      <c r="G30" s="1110"/>
    </row>
    <row r="31" spans="1:10" ht="18" customHeight="1">
      <c r="B31" s="231"/>
      <c r="C31" s="240"/>
      <c r="D31" s="240"/>
      <c r="E31" s="240"/>
      <c r="F31" s="240"/>
      <c r="G31" s="240"/>
    </row>
    <row r="32" spans="1:10" ht="21.75" customHeight="1">
      <c r="B32" s="1109" t="s">
        <v>204</v>
      </c>
      <c r="C32" s="1110"/>
      <c r="D32" s="1110"/>
      <c r="E32" s="1110"/>
      <c r="F32" s="1110"/>
      <c r="G32" s="1110"/>
      <c r="H32" s="1"/>
    </row>
    <row r="33" spans="2:10" ht="10.5" customHeight="1">
      <c r="B33" s="1108" t="s">
        <v>207</v>
      </c>
      <c r="C33" s="1108"/>
      <c r="D33" s="1108"/>
      <c r="E33" s="1108"/>
      <c r="F33" s="1108"/>
      <c r="G33" s="1108"/>
      <c r="H33" s="1"/>
    </row>
    <row r="34" spans="2:10">
      <c r="B34" s="235"/>
      <c r="C34" s="10"/>
      <c r="D34" s="10"/>
      <c r="E34" s="10"/>
      <c r="F34" s="10"/>
      <c r="G34" s="10"/>
      <c r="H34" s="10"/>
    </row>
    <row r="35" spans="2:10">
      <c r="C35" s="62">
        <f>+C22/$G$22</f>
        <v>0.42859206987938336</v>
      </c>
      <c r="D35" s="62">
        <f>+D22/$G$22</f>
        <v>0.35719446407286165</v>
      </c>
      <c r="E35" s="62">
        <f>+E22/$G$22</f>
        <v>0.15330801392046312</v>
      </c>
      <c r="F35" s="62">
        <f>+F22/$G$22</f>
        <v>6.0905452127291766E-2</v>
      </c>
    </row>
    <row r="36" spans="2:10">
      <c r="C36" s="62" t="e">
        <f>+C27/$G$27</f>
        <v>#DIV/0!</v>
      </c>
      <c r="D36" s="62" t="e">
        <f>+D27/$G$27</f>
        <v>#DIV/0!</v>
      </c>
      <c r="E36" s="62" t="e">
        <f>+E27/$G$27</f>
        <v>#DIV/0!</v>
      </c>
      <c r="F36" s="62" t="e">
        <f>+F27/$G$27</f>
        <v>#DIV/0!</v>
      </c>
      <c r="J36" s="56"/>
    </row>
    <row r="42" spans="2:10">
      <c r="B42" s="235"/>
    </row>
    <row r="49" spans="2:2" ht="252">
      <c r="B49" s="242" t="s">
        <v>216</v>
      </c>
    </row>
  </sheetData>
  <customSheetViews>
    <customSheetView guid="{E9B43C8C-734F-433D-AD37-344F9303B5CC}" showPageBreaks="1" showGridLines="0" showRuler="0">
      <selection activeCell="B27" sqref="B27:G27"/>
      <pageMargins left="0.78740157480314965" right="0.78740157480314965" top="0.98425196850393704" bottom="0.98425196850393704" header="0" footer="0"/>
      <printOptions horizontalCentered="1"/>
      <pageSetup orientation="portrait" r:id="rId1"/>
      <headerFooter alignWithMargins="0"/>
    </customSheetView>
    <customSheetView guid="{9BF398E0-33D8-4E64-94A2-9B7C822C8383}" showGridLines="0" hiddenRows="1" showRuler="0">
      <selection activeCell="B27" sqref="B27:G27"/>
      <pageMargins left="0.78740157480314965" right="0.78740157480314965" top="0.98425196850393704" bottom="0.98425196850393704" header="0" footer="0"/>
      <printOptions horizontalCentered="1"/>
      <pageSetup orientation="portrait" r:id="rId2"/>
      <headerFooter alignWithMargins="0"/>
    </customSheetView>
    <customSheetView guid="{6DCFE324-2DF9-4BB0-88BD-A4AD316C7A9E}" showGridLines="0" hiddenRows="1" showRuler="0">
      <pageMargins left="0.78740157480314965" right="0.78740157480314965" top="0.98425196850393704" bottom="0.98425196850393704" header="0" footer="0"/>
      <printOptions horizontalCentered="1"/>
      <pageSetup orientation="portrait" r:id="rId3"/>
      <headerFooter alignWithMargins="0"/>
    </customSheetView>
    <customSheetView guid="{48A744A8-8180-4A3B-8108-49EF41816969}" showGridLines="0" hiddenRows="1" showRuler="0">
      <pageMargins left="0.78740157480314965" right="0.78740157480314965" top="0.98425196850393704" bottom="0.98425196850393704" header="0" footer="0"/>
      <printOptions horizontalCentered="1"/>
      <pageSetup orientation="portrait" r:id="rId4"/>
      <headerFooter alignWithMargins="0"/>
    </customSheetView>
    <customSheetView guid="{9E220BD5-A526-40BD-8239-3A0461590922}" showGridLines="0" showRuler="0">
      <selection activeCell="B27" sqref="B27:G27"/>
      <pageMargins left="0.78740157480314965" right="0.78740157480314965" top="0.98425196850393704" bottom="0.98425196850393704" header="0" footer="0"/>
      <printOptions horizontalCentered="1"/>
      <pageSetup orientation="portrait" r:id="rId5"/>
      <headerFooter alignWithMargins="0"/>
    </customSheetView>
  </customSheetViews>
  <mergeCells count="4">
    <mergeCell ref="B33:G33"/>
    <mergeCell ref="B29:G29"/>
    <mergeCell ref="B30:G30"/>
    <mergeCell ref="B32:G32"/>
  </mergeCells>
  <phoneticPr fontId="9" type="noConversion"/>
  <printOptions horizontalCentered="1"/>
  <pageMargins left="0.78740157480314965" right="0.78740157480314965" top="0.98425196850393704" bottom="0.98425196850393704" header="0" footer="0"/>
  <pageSetup orientation="portrait" r:id="rId6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 enableFormatConditionsCalculation="0">
    <tabColor rgb="FFD8C57E"/>
    <pageSetUpPr autoPageBreaks="0" fitToPage="1"/>
  </sheetPr>
  <dimension ref="A1:Q49"/>
  <sheetViews>
    <sheetView showGridLines="0" zoomScaleNormal="100" zoomScaleSheetLayoutView="50" workbookViewId="0">
      <selection activeCell="R9" sqref="R9"/>
    </sheetView>
  </sheetViews>
  <sheetFormatPr baseColWidth="10" defaultRowHeight="12.75"/>
  <cols>
    <col min="1" max="1" width="1.7109375" customWidth="1"/>
    <col min="2" max="2" width="26.7109375" customWidth="1"/>
    <col min="3" max="3" width="12.7109375" customWidth="1"/>
    <col min="4" max="4" width="8.7109375" customWidth="1"/>
    <col min="5" max="5" width="12.42578125" customWidth="1"/>
    <col min="6" max="6" width="8.7109375" customWidth="1"/>
    <col min="7" max="7" width="10.7109375" customWidth="1"/>
    <col min="8" max="8" width="8.7109375" customWidth="1"/>
    <col min="10" max="10" width="8.7109375" customWidth="1"/>
    <col min="11" max="11" width="11.5703125" bestFit="1" customWidth="1"/>
    <col min="12" max="12" width="8.7109375" customWidth="1"/>
    <col min="14" max="14" width="8.7109375" customWidth="1"/>
    <col min="15" max="15" width="12.7109375" customWidth="1"/>
    <col min="16" max="16" width="8.7109375" customWidth="1"/>
    <col min="17" max="17" width="1.7109375" customWidth="1"/>
  </cols>
  <sheetData>
    <row r="1" spans="1:16" s="46" customFormat="1" ht="15.75">
      <c r="A1" s="260"/>
      <c r="B1" s="259"/>
      <c r="C1" s="260"/>
      <c r="D1" s="260"/>
      <c r="E1" s="260"/>
      <c r="F1" s="261"/>
      <c r="G1" s="260"/>
    </row>
    <row r="2" spans="1:16" ht="42" customHeight="1" thickBot="1">
      <c r="A2" s="307"/>
      <c r="B2" s="1376" t="s">
        <v>584</v>
      </c>
      <c r="C2" s="1376"/>
      <c r="D2" s="1376"/>
      <c r="E2" s="1376"/>
      <c r="F2" s="1376"/>
      <c r="G2" s="1376"/>
      <c r="H2" s="1376"/>
      <c r="I2" s="1376"/>
      <c r="J2" s="1376"/>
      <c r="K2" s="1376"/>
      <c r="L2" s="1376"/>
      <c r="M2" s="1376"/>
      <c r="N2" s="1376"/>
      <c r="O2" s="1376"/>
      <c r="P2" s="1376"/>
    </row>
    <row r="3" spans="1:16" ht="15" customHeight="1" thickBot="1">
      <c r="A3" s="308"/>
      <c r="B3" s="1377" t="s">
        <v>194</v>
      </c>
      <c r="C3" s="1374">
        <v>2003</v>
      </c>
      <c r="D3" s="1375"/>
      <c r="E3" s="1374">
        <v>2004</v>
      </c>
      <c r="F3" s="1375"/>
      <c r="G3" s="1374">
        <v>2005</v>
      </c>
      <c r="H3" s="1375"/>
      <c r="I3" s="1374">
        <v>2006</v>
      </c>
      <c r="J3" s="1375"/>
      <c r="K3" s="1374">
        <v>2007</v>
      </c>
      <c r="L3" s="1375"/>
      <c r="M3" s="1374">
        <v>2008</v>
      </c>
      <c r="N3" s="1375"/>
      <c r="O3" s="1374">
        <v>2009</v>
      </c>
      <c r="P3" s="1375"/>
    </row>
    <row r="4" spans="1:16" ht="15" customHeight="1" thickBot="1">
      <c r="A4" s="308"/>
      <c r="B4" s="1378"/>
      <c r="C4" s="972" t="s">
        <v>581</v>
      </c>
      <c r="D4" s="972" t="s">
        <v>51</v>
      </c>
      <c r="E4" s="972" t="s">
        <v>581</v>
      </c>
      <c r="F4" s="972" t="s">
        <v>51</v>
      </c>
      <c r="G4" s="972" t="s">
        <v>581</v>
      </c>
      <c r="H4" s="972" t="s">
        <v>51</v>
      </c>
      <c r="I4" s="972" t="s">
        <v>581</v>
      </c>
      <c r="J4" s="972" t="s">
        <v>51</v>
      </c>
      <c r="K4" s="972" t="s">
        <v>581</v>
      </c>
      <c r="L4" s="972" t="s">
        <v>51</v>
      </c>
      <c r="M4" s="972" t="s">
        <v>581</v>
      </c>
      <c r="N4" s="972" t="s">
        <v>51</v>
      </c>
      <c r="O4" s="972" t="s">
        <v>581</v>
      </c>
      <c r="P4" s="972" t="s">
        <v>51</v>
      </c>
    </row>
    <row r="5" spans="1:16" ht="13.5" thickBot="1">
      <c r="A5" s="308"/>
      <c r="B5" s="963" t="s">
        <v>6</v>
      </c>
      <c r="C5" s="959">
        <v>2250.1999999999998</v>
      </c>
      <c r="D5" s="960">
        <v>76.7</v>
      </c>
      <c r="E5" s="959">
        <v>2458.8000000000002</v>
      </c>
      <c r="F5" s="960">
        <v>82.6</v>
      </c>
      <c r="G5" s="959">
        <v>2901.33</v>
      </c>
      <c r="H5" s="960">
        <v>95.71115065962114</v>
      </c>
      <c r="I5" s="959">
        <v>3288.33</v>
      </c>
      <c r="J5" s="960">
        <v>100</v>
      </c>
      <c r="K5" s="959">
        <v>3032.67</v>
      </c>
      <c r="L5" s="960">
        <v>100</v>
      </c>
      <c r="M5" s="959">
        <v>3470.12</v>
      </c>
      <c r="N5" s="960">
        <v>100</v>
      </c>
      <c r="O5" s="968">
        <v>3354.22</v>
      </c>
      <c r="P5" s="969">
        <v>100</v>
      </c>
    </row>
    <row r="6" spans="1:16" ht="13.5" thickBot="1">
      <c r="A6" s="308"/>
      <c r="B6" s="963" t="s">
        <v>7</v>
      </c>
      <c r="C6" s="959">
        <v>3864.55</v>
      </c>
      <c r="D6" s="960">
        <v>71.7</v>
      </c>
      <c r="E6" s="959">
        <v>4059.5</v>
      </c>
      <c r="F6" s="960">
        <v>70.7</v>
      </c>
      <c r="G6" s="959">
        <v>3960.9</v>
      </c>
      <c r="H6" s="960">
        <v>68.673708186080276</v>
      </c>
      <c r="I6" s="959">
        <v>4442.1000000000004</v>
      </c>
      <c r="J6" s="960">
        <v>83.044972995619304</v>
      </c>
      <c r="K6" s="959">
        <v>4930.79</v>
      </c>
      <c r="L6" s="960">
        <v>96.949401297027165</v>
      </c>
      <c r="M6" s="959">
        <v>5262.1</v>
      </c>
      <c r="N6" s="960">
        <v>92.557349546930553</v>
      </c>
      <c r="O6" s="968">
        <v>5620.03</v>
      </c>
      <c r="P6" s="969">
        <v>106.69980848815609</v>
      </c>
    </row>
    <row r="7" spans="1:16" ht="13.5" thickBot="1">
      <c r="A7" s="308"/>
      <c r="B7" s="964" t="s">
        <v>8</v>
      </c>
      <c r="C7" s="961">
        <v>796.5</v>
      </c>
      <c r="D7" s="962">
        <v>47.4</v>
      </c>
      <c r="E7" s="961">
        <v>780.5</v>
      </c>
      <c r="F7" s="962">
        <v>46.4</v>
      </c>
      <c r="G7" s="961">
        <v>847.5</v>
      </c>
      <c r="H7" s="962">
        <v>60.127711457854303</v>
      </c>
      <c r="I7" s="961">
        <v>823.5</v>
      </c>
      <c r="J7" s="962">
        <v>48.177169619454027</v>
      </c>
      <c r="K7" s="961">
        <v>837.5</v>
      </c>
      <c r="L7" s="962">
        <v>47.871773792069618</v>
      </c>
      <c r="M7" s="961">
        <v>844.8</v>
      </c>
      <c r="N7" s="962">
        <v>44.92117954580641</v>
      </c>
      <c r="O7" s="970">
        <v>1062.77</v>
      </c>
      <c r="P7" s="971">
        <v>58.935894259322154</v>
      </c>
    </row>
    <row r="8" spans="1:16" ht="13.5" thickBot="1">
      <c r="A8" s="308"/>
      <c r="B8" s="963" t="s">
        <v>9</v>
      </c>
      <c r="C8" s="959">
        <v>45.5</v>
      </c>
      <c r="D8" s="960">
        <v>2.2999999999999998</v>
      </c>
      <c r="E8" s="959">
        <v>37</v>
      </c>
      <c r="F8" s="960">
        <v>1.9</v>
      </c>
      <c r="G8" s="959">
        <v>48</v>
      </c>
      <c r="H8" s="960">
        <v>61.571969187225527</v>
      </c>
      <c r="I8" s="959">
        <v>47.3</v>
      </c>
      <c r="J8" s="960">
        <v>1.9009221682890813</v>
      </c>
      <c r="K8" s="959">
        <v>47.3</v>
      </c>
      <c r="L8" s="960">
        <v>2.8845655225531477</v>
      </c>
      <c r="M8" s="959">
        <v>61.3</v>
      </c>
      <c r="N8" s="960">
        <v>3.8494343428923896</v>
      </c>
      <c r="O8" s="968">
        <v>97.3</v>
      </c>
      <c r="P8" s="969">
        <v>6.1081449256256457</v>
      </c>
    </row>
    <row r="9" spans="1:16" ht="13.5" thickBot="1">
      <c r="A9" s="308"/>
      <c r="B9" s="963" t="s">
        <v>12</v>
      </c>
      <c r="C9" s="959">
        <v>219</v>
      </c>
      <c r="D9" s="960">
        <v>5.3</v>
      </c>
      <c r="E9" s="959">
        <v>851</v>
      </c>
      <c r="F9" s="960">
        <v>20.5</v>
      </c>
      <c r="G9" s="959">
        <v>964.9</v>
      </c>
      <c r="H9" s="960">
        <v>19.851459751011355</v>
      </c>
      <c r="I9" s="959">
        <v>953.2</v>
      </c>
      <c r="J9" s="960">
        <v>17.728230980325421</v>
      </c>
      <c r="K9" s="959">
        <v>1181.93</v>
      </c>
      <c r="L9" s="960">
        <v>23.76074689630936</v>
      </c>
      <c r="M9" s="959">
        <v>1356.1</v>
      </c>
      <c r="N9" s="960">
        <v>47.180987049350527</v>
      </c>
      <c r="O9" s="968">
        <v>969.41</v>
      </c>
      <c r="P9" s="969">
        <v>21.089280836596835</v>
      </c>
    </row>
    <row r="10" spans="1:16" ht="13.5" thickBot="1">
      <c r="A10" s="308"/>
      <c r="B10" s="964" t="s">
        <v>13</v>
      </c>
      <c r="C10" s="961">
        <v>3776.5</v>
      </c>
      <c r="D10" s="962">
        <v>32.1</v>
      </c>
      <c r="E10" s="961">
        <v>3953.7</v>
      </c>
      <c r="F10" s="962">
        <v>33.700000000000003</v>
      </c>
      <c r="G10" s="961">
        <v>6093.1</v>
      </c>
      <c r="H10" s="962">
        <v>51.52754710173101</v>
      </c>
      <c r="I10" s="961">
        <v>6241.6</v>
      </c>
      <c r="J10" s="962">
        <v>56.734589010666767</v>
      </c>
      <c r="K10" s="961">
        <v>6309.3</v>
      </c>
      <c r="L10" s="962">
        <v>71.220073609719762</v>
      </c>
      <c r="M10" s="961">
        <v>5928.4000000000005</v>
      </c>
      <c r="N10" s="962">
        <v>71.525453257352893</v>
      </c>
      <c r="O10" s="970">
        <v>5937.25</v>
      </c>
      <c r="P10" s="971">
        <v>71.630663460656436</v>
      </c>
    </row>
    <row r="11" spans="1:16" ht="13.5" thickBot="1">
      <c r="A11" s="308"/>
      <c r="B11" s="963" t="s">
        <v>223</v>
      </c>
      <c r="C11" s="959">
        <v>2510</v>
      </c>
      <c r="D11" s="960">
        <v>38.700000000000003</v>
      </c>
      <c r="E11" s="959">
        <v>2435</v>
      </c>
      <c r="F11" s="960">
        <v>37.200000000000003</v>
      </c>
      <c r="G11" s="959">
        <v>2562</v>
      </c>
      <c r="H11" s="960">
        <v>37.570191291480029</v>
      </c>
      <c r="I11" s="959">
        <v>2753</v>
      </c>
      <c r="J11" s="960">
        <v>42.906481637335027</v>
      </c>
      <c r="K11" s="959">
        <v>2966</v>
      </c>
      <c r="L11" s="960">
        <v>43.2233883284702</v>
      </c>
      <c r="M11" s="959">
        <v>3866</v>
      </c>
      <c r="N11" s="960">
        <v>51.321904711575343</v>
      </c>
      <c r="O11" s="968">
        <v>4026</v>
      </c>
      <c r="P11" s="969">
        <v>49.810681366137729</v>
      </c>
    </row>
    <row r="12" spans="1:16" ht="13.5" thickBot="1">
      <c r="A12" s="308"/>
      <c r="B12" s="963" t="s">
        <v>11</v>
      </c>
      <c r="C12" s="959">
        <v>454.7</v>
      </c>
      <c r="D12" s="960">
        <v>20.8</v>
      </c>
      <c r="E12" s="959">
        <v>373.9</v>
      </c>
      <c r="F12" s="960">
        <v>17</v>
      </c>
      <c r="G12" s="959">
        <v>375.7</v>
      </c>
      <c r="H12" s="960">
        <v>16.84701105690824</v>
      </c>
      <c r="I12" s="959">
        <v>382.3</v>
      </c>
      <c r="J12" s="960">
        <v>18.614275976239163</v>
      </c>
      <c r="K12" s="959">
        <v>945.5</v>
      </c>
      <c r="L12" s="960">
        <v>36.669471550903801</v>
      </c>
      <c r="M12" s="959">
        <v>1001.8000000000001</v>
      </c>
      <c r="N12" s="960">
        <v>37.805525969471368</v>
      </c>
      <c r="O12" s="968">
        <v>1145.9000000000001</v>
      </c>
      <c r="P12" s="969">
        <v>43.906296828130806</v>
      </c>
    </row>
    <row r="13" spans="1:16" ht="13.5" thickBot="1">
      <c r="A13" s="308"/>
      <c r="B13" s="964" t="s">
        <v>14</v>
      </c>
      <c r="C13" s="961">
        <v>3790</v>
      </c>
      <c r="D13" s="962">
        <v>13.5</v>
      </c>
      <c r="E13" s="961">
        <v>3790</v>
      </c>
      <c r="F13" s="962">
        <v>13.3</v>
      </c>
      <c r="G13" s="961">
        <v>3525</v>
      </c>
      <c r="H13" s="962">
        <v>12.498114025278289</v>
      </c>
      <c r="I13" s="961">
        <v>3525</v>
      </c>
      <c r="J13" s="962">
        <v>14.396117189539769</v>
      </c>
      <c r="K13" s="961">
        <v>2805.8</v>
      </c>
      <c r="L13" s="962">
        <v>11.871007169266749</v>
      </c>
      <c r="M13" s="961">
        <v>3122.8</v>
      </c>
      <c r="N13" s="962">
        <v>12.938917243898354</v>
      </c>
      <c r="O13" s="970">
        <v>3329.8</v>
      </c>
      <c r="P13" s="971">
        <v>14.387843170065528</v>
      </c>
    </row>
    <row r="14" spans="1:16" ht="13.5" thickBot="1">
      <c r="A14" s="308"/>
      <c r="B14" s="963" t="s">
        <v>15</v>
      </c>
      <c r="C14" s="959">
        <v>2410.9</v>
      </c>
      <c r="D14" s="960">
        <v>50.7</v>
      </c>
      <c r="E14" s="959">
        <v>2433.7399999999998</v>
      </c>
      <c r="F14" s="960">
        <v>54.3</v>
      </c>
      <c r="G14" s="959">
        <v>2438.5700000000002</v>
      </c>
      <c r="H14" s="960">
        <v>59.732286050300942</v>
      </c>
      <c r="I14" s="959">
        <v>2552.9</v>
      </c>
      <c r="J14" s="960">
        <v>56.383380733444575</v>
      </c>
      <c r="K14" s="959">
        <v>2576.5</v>
      </c>
      <c r="L14" s="960">
        <v>53.599724955477946</v>
      </c>
      <c r="M14" s="959">
        <v>2671.3700000000003</v>
      </c>
      <c r="N14" s="960">
        <v>58.888681862611001</v>
      </c>
      <c r="O14" s="968">
        <v>3208.06</v>
      </c>
      <c r="P14" s="969">
        <v>67.733325255032625</v>
      </c>
    </row>
    <row r="15" spans="1:16" ht="13.5" thickBot="1">
      <c r="A15" s="308"/>
      <c r="B15" s="963" t="s">
        <v>16</v>
      </c>
      <c r="C15" s="959">
        <v>2866</v>
      </c>
      <c r="D15" s="960">
        <v>35</v>
      </c>
      <c r="E15" s="959">
        <v>2879</v>
      </c>
      <c r="F15" s="960">
        <v>34.4</v>
      </c>
      <c r="G15" s="959">
        <v>3398</v>
      </c>
      <c r="H15" s="960">
        <v>36.14834811907064</v>
      </c>
      <c r="I15" s="959">
        <v>3691.5</v>
      </c>
      <c r="J15" s="960">
        <v>42.848437363976672</v>
      </c>
      <c r="K15" s="959">
        <v>4259.5</v>
      </c>
      <c r="L15" s="960">
        <v>49.411542032706471</v>
      </c>
      <c r="M15" s="959">
        <v>4305.59</v>
      </c>
      <c r="N15" s="960">
        <v>50.100453176722773</v>
      </c>
      <c r="O15" s="968">
        <v>4415.6099999999997</v>
      </c>
      <c r="P15" s="969">
        <v>53.581658038642964</v>
      </c>
    </row>
    <row r="16" spans="1:16" ht="13.5" thickBot="1">
      <c r="A16" s="308"/>
      <c r="B16" s="964" t="s">
        <v>17</v>
      </c>
      <c r="C16" s="961">
        <v>1656.7</v>
      </c>
      <c r="D16" s="962">
        <v>57.3</v>
      </c>
      <c r="E16" s="961">
        <v>1662.5</v>
      </c>
      <c r="F16" s="962">
        <v>55.7</v>
      </c>
      <c r="G16" s="961">
        <v>1800.7</v>
      </c>
      <c r="H16" s="962">
        <v>78.084373835224454</v>
      </c>
      <c r="I16" s="961">
        <v>1800.7</v>
      </c>
      <c r="J16" s="962">
        <v>56.182227477586466</v>
      </c>
      <c r="K16" s="961">
        <v>1074.5</v>
      </c>
      <c r="L16" s="962">
        <v>31.352580949525759</v>
      </c>
      <c r="M16" s="961">
        <v>1216.7</v>
      </c>
      <c r="N16" s="962">
        <v>33.095865479376876</v>
      </c>
      <c r="O16" s="970">
        <v>2694.5</v>
      </c>
      <c r="P16" s="971">
        <v>72.50394401408883</v>
      </c>
    </row>
    <row r="17" spans="1:16" ht="13.5" thickBot="1">
      <c r="A17" s="308"/>
      <c r="B17" s="963" t="s">
        <v>18</v>
      </c>
      <c r="C17" s="959">
        <v>47.7</v>
      </c>
      <c r="D17" s="960">
        <v>2.2999999999999998</v>
      </c>
      <c r="E17" s="959">
        <v>47.7</v>
      </c>
      <c r="F17" s="960">
        <v>2.2000000000000002</v>
      </c>
      <c r="G17" s="959">
        <v>49.7</v>
      </c>
      <c r="H17" s="960">
        <v>2.3803615999347305</v>
      </c>
      <c r="I17" s="959">
        <v>49.7</v>
      </c>
      <c r="J17" s="960">
        <v>2.1027176292649896</v>
      </c>
      <c r="K17" s="959">
        <v>211.7</v>
      </c>
      <c r="L17" s="960">
        <v>8.8676418882799179</v>
      </c>
      <c r="M17" s="959">
        <v>281.7</v>
      </c>
      <c r="N17" s="960">
        <v>7.4790919952210269</v>
      </c>
      <c r="O17" s="968">
        <v>289.2</v>
      </c>
      <c r="P17" s="969">
        <v>7.6782158502588613</v>
      </c>
    </row>
    <row r="18" spans="1:16" ht="13.5" thickBot="1">
      <c r="A18" s="308"/>
      <c r="B18" s="963" t="s">
        <v>19</v>
      </c>
      <c r="C18" s="959">
        <v>2558.9</v>
      </c>
      <c r="D18" s="960">
        <v>18.600000000000001</v>
      </c>
      <c r="E18" s="959">
        <v>2720.9</v>
      </c>
      <c r="F18" s="960">
        <v>18.100000000000001</v>
      </c>
      <c r="G18" s="959">
        <v>3250.6</v>
      </c>
      <c r="H18" s="960">
        <v>20.547482167873589</v>
      </c>
      <c r="I18" s="959">
        <v>3275.6</v>
      </c>
      <c r="J18" s="960">
        <v>22.35833393826292</v>
      </c>
      <c r="K18" s="959">
        <v>3388.5</v>
      </c>
      <c r="L18" s="960">
        <v>23.022645774348408</v>
      </c>
      <c r="M18" s="959">
        <v>3493.5</v>
      </c>
      <c r="N18" s="960">
        <v>24.741219618845328</v>
      </c>
      <c r="O18" s="968">
        <v>3530.3</v>
      </c>
      <c r="P18" s="969">
        <v>24.142227894372517</v>
      </c>
    </row>
    <row r="19" spans="1:16" ht="13.5" thickBot="1">
      <c r="A19" s="308"/>
      <c r="B19" s="964" t="s">
        <v>20</v>
      </c>
      <c r="C19" s="961">
        <v>4450.7</v>
      </c>
      <c r="D19" s="962">
        <v>17.899999999999999</v>
      </c>
      <c r="E19" s="961">
        <v>4450.7</v>
      </c>
      <c r="F19" s="962">
        <v>17.8</v>
      </c>
      <c r="G19" s="961">
        <v>4587.3999999999996</v>
      </c>
      <c r="H19" s="962">
        <v>16.551573746962177</v>
      </c>
      <c r="I19" s="961">
        <v>4733.3</v>
      </c>
      <c r="J19" s="962">
        <v>18.828505975374529</v>
      </c>
      <c r="K19" s="961">
        <v>4898.3</v>
      </c>
      <c r="L19" s="962">
        <v>19.883794350945401</v>
      </c>
      <c r="M19" s="961">
        <v>5190.3</v>
      </c>
      <c r="N19" s="962">
        <v>21.083766069477146</v>
      </c>
      <c r="O19" s="970">
        <v>5190.3</v>
      </c>
      <c r="P19" s="971">
        <v>22.243672436200807</v>
      </c>
    </row>
    <row r="20" spans="1:16" ht="13.5" thickBot="1">
      <c r="A20" s="308"/>
      <c r="B20" s="963" t="s">
        <v>224</v>
      </c>
      <c r="C20" s="959">
        <v>997.2</v>
      </c>
      <c r="D20" s="960">
        <v>15.5</v>
      </c>
      <c r="E20" s="959">
        <v>1052.2</v>
      </c>
      <c r="F20" s="960">
        <v>16.2</v>
      </c>
      <c r="G20" s="959">
        <v>904.1</v>
      </c>
      <c r="H20" s="960">
        <v>15.76397109276807</v>
      </c>
      <c r="I20" s="959">
        <v>1043.5999999999999</v>
      </c>
      <c r="J20" s="960">
        <v>16.465463312041511</v>
      </c>
      <c r="K20" s="959">
        <v>2470.6</v>
      </c>
      <c r="L20" s="960">
        <v>38.127547915039287</v>
      </c>
      <c r="M20" s="959">
        <v>2473.6</v>
      </c>
      <c r="N20" s="960">
        <v>26.963613683883853</v>
      </c>
      <c r="O20" s="968">
        <v>2793.1</v>
      </c>
      <c r="P20" s="969">
        <v>30.442131751654145</v>
      </c>
    </row>
    <row r="21" spans="1:16" ht="13.5" thickBot="1">
      <c r="A21" s="308"/>
      <c r="B21" s="963" t="s">
        <v>22</v>
      </c>
      <c r="C21" s="959">
        <v>1067.2</v>
      </c>
      <c r="D21" s="960">
        <v>17.7</v>
      </c>
      <c r="E21" s="959">
        <v>1075.5</v>
      </c>
      <c r="F21" s="960">
        <v>20</v>
      </c>
      <c r="G21" s="959">
        <v>1075.5</v>
      </c>
      <c r="H21" s="960">
        <v>19.083003968798156</v>
      </c>
      <c r="I21" s="959">
        <v>1013.1</v>
      </c>
      <c r="J21" s="960">
        <v>15.976345357776465</v>
      </c>
      <c r="K21" s="959">
        <v>1059.1000000000001</v>
      </c>
      <c r="L21" s="960">
        <v>16.460295343232705</v>
      </c>
      <c r="M21" s="959">
        <v>1214.1000000000001</v>
      </c>
      <c r="N21" s="960">
        <v>18.881897542708824</v>
      </c>
      <c r="O21" s="968">
        <v>1366.1</v>
      </c>
      <c r="P21" s="969">
        <v>20.372712142785929</v>
      </c>
    </row>
    <row r="22" spans="1:16" ht="13.5" thickBot="1">
      <c r="A22" s="308"/>
      <c r="B22" s="964" t="s">
        <v>23</v>
      </c>
      <c r="C22" s="961">
        <v>1467.1</v>
      </c>
      <c r="D22" s="962">
        <v>82.6</v>
      </c>
      <c r="E22" s="961">
        <v>1467.1</v>
      </c>
      <c r="F22" s="962">
        <v>80.900000000000006</v>
      </c>
      <c r="G22" s="961">
        <v>1172.4000000000001</v>
      </c>
      <c r="H22" s="962">
        <v>72.646725030294334</v>
      </c>
      <c r="I22" s="961">
        <v>1173.4000000000001</v>
      </c>
      <c r="J22" s="962">
        <v>63.033358151307993</v>
      </c>
      <c r="K22" s="961">
        <v>1198.3999999999999</v>
      </c>
      <c r="L22" s="962">
        <v>55.487135200265861</v>
      </c>
      <c r="M22" s="961">
        <v>1228.3999999999999</v>
      </c>
      <c r="N22" s="962">
        <v>60.480273030836898</v>
      </c>
      <c r="O22" s="970">
        <v>1428.4</v>
      </c>
      <c r="P22" s="971">
        <v>70.327047703278595</v>
      </c>
    </row>
    <row r="23" spans="1:16" ht="13.5" thickBot="1">
      <c r="A23" s="308"/>
      <c r="B23" s="963" t="s">
        <v>24</v>
      </c>
      <c r="C23" s="959">
        <v>9163.2999999999993</v>
      </c>
      <c r="D23" s="960">
        <v>98.2</v>
      </c>
      <c r="E23" s="959">
        <v>9754.2000000000007</v>
      </c>
      <c r="F23" s="960">
        <v>96.6</v>
      </c>
      <c r="G23" s="959">
        <v>11118.8</v>
      </c>
      <c r="H23" s="960">
        <v>97.961254021288937</v>
      </c>
      <c r="I23" s="959">
        <v>11102.2</v>
      </c>
      <c r="J23" s="960">
        <v>100</v>
      </c>
      <c r="K23" s="959">
        <v>11869.700000000003</v>
      </c>
      <c r="L23" s="960">
        <v>100</v>
      </c>
      <c r="M23" s="959">
        <v>11645.93</v>
      </c>
      <c r="N23" s="960">
        <v>100</v>
      </c>
      <c r="O23" s="968">
        <v>10877.15</v>
      </c>
      <c r="P23" s="969">
        <v>100</v>
      </c>
    </row>
    <row r="24" spans="1:16" ht="13.5" thickBot="1">
      <c r="A24" s="308"/>
      <c r="B24" s="963" t="s">
        <v>25</v>
      </c>
      <c r="C24" s="959">
        <v>612.9</v>
      </c>
      <c r="D24" s="960">
        <v>41.7</v>
      </c>
      <c r="E24" s="959">
        <v>640.29999999999995</v>
      </c>
      <c r="F24" s="960">
        <v>43</v>
      </c>
      <c r="G24" s="959">
        <v>639.9</v>
      </c>
      <c r="H24" s="960">
        <v>62.852796201549509</v>
      </c>
      <c r="I24" s="959">
        <v>660.8</v>
      </c>
      <c r="J24" s="960">
        <v>35.951339470305321</v>
      </c>
      <c r="K24" s="959">
        <v>686.1</v>
      </c>
      <c r="L24" s="960">
        <v>32.363473046043715</v>
      </c>
      <c r="M24" s="959">
        <v>986.1</v>
      </c>
      <c r="N24" s="960">
        <v>44.384619204947917</v>
      </c>
      <c r="O24" s="968">
        <v>986.1</v>
      </c>
      <c r="P24" s="969">
        <v>44.055977638667237</v>
      </c>
    </row>
    <row r="25" spans="1:16" ht="13.5" thickBot="1">
      <c r="A25" s="308"/>
      <c r="B25" s="964" t="s">
        <v>36</v>
      </c>
      <c r="C25" s="961">
        <v>2169.6</v>
      </c>
      <c r="D25" s="962">
        <v>45</v>
      </c>
      <c r="E25" s="961">
        <v>2181.9</v>
      </c>
      <c r="F25" s="962">
        <v>44.9</v>
      </c>
      <c r="G25" s="961">
        <v>2275.2399999999998</v>
      </c>
      <c r="H25" s="962">
        <v>46.687168620131288</v>
      </c>
      <c r="I25" s="961">
        <v>2421.09</v>
      </c>
      <c r="J25" s="962">
        <v>44.294131739682037</v>
      </c>
      <c r="K25" s="961">
        <v>2423.29</v>
      </c>
      <c r="L25" s="962">
        <v>43.856499539703321</v>
      </c>
      <c r="M25" s="961">
        <v>2426.2499999999995</v>
      </c>
      <c r="N25" s="962">
        <v>42.689969527105383</v>
      </c>
      <c r="O25" s="970">
        <v>2545.29</v>
      </c>
      <c r="P25" s="971">
        <v>44.761177324784946</v>
      </c>
    </row>
    <row r="26" spans="1:16" ht="13.5" thickBot="1">
      <c r="A26" s="308"/>
      <c r="B26" s="963" t="s">
        <v>225</v>
      </c>
      <c r="C26" s="959">
        <v>657.4</v>
      </c>
      <c r="D26" s="960">
        <v>22.9</v>
      </c>
      <c r="E26" s="959">
        <v>657.4</v>
      </c>
      <c r="F26" s="960">
        <v>22.7</v>
      </c>
      <c r="G26" s="959">
        <v>750.6</v>
      </c>
      <c r="H26" s="960">
        <v>27.12890490088455</v>
      </c>
      <c r="I26" s="959">
        <v>774.1</v>
      </c>
      <c r="J26" s="960">
        <v>24.077127920745674</v>
      </c>
      <c r="K26" s="959">
        <v>711.06</v>
      </c>
      <c r="L26" s="960">
        <v>22.251521158869668</v>
      </c>
      <c r="M26" s="959">
        <v>716.2</v>
      </c>
      <c r="N26" s="960">
        <v>22.699393744591873</v>
      </c>
      <c r="O26" s="968">
        <v>800.45</v>
      </c>
      <c r="P26" s="969">
        <v>26.456953299162411</v>
      </c>
    </row>
    <row r="27" spans="1:16" ht="13.5" thickBot="1">
      <c r="A27" s="308"/>
      <c r="B27" s="963" t="s">
        <v>27</v>
      </c>
      <c r="C27" s="959">
        <v>1019.8</v>
      </c>
      <c r="D27" s="960">
        <v>72.900000000000006</v>
      </c>
      <c r="E27" s="959">
        <v>1349.9</v>
      </c>
      <c r="F27" s="960">
        <v>96.3</v>
      </c>
      <c r="G27" s="959">
        <v>1611.5</v>
      </c>
      <c r="H27" s="960">
        <v>96.567502412270443</v>
      </c>
      <c r="I27" s="959">
        <v>1600.9</v>
      </c>
      <c r="J27" s="960">
        <v>100</v>
      </c>
      <c r="K27" s="959">
        <v>1600.8999999999999</v>
      </c>
      <c r="L27" s="960">
        <v>54.912503989564343</v>
      </c>
      <c r="M27" s="959">
        <v>1600.8999999999999</v>
      </c>
      <c r="N27" s="960">
        <v>66.970327172801163</v>
      </c>
      <c r="O27" s="968">
        <v>1725.18</v>
      </c>
      <c r="P27" s="969">
        <v>69.202751862883503</v>
      </c>
    </row>
    <row r="28" spans="1:16" ht="13.5" thickBot="1">
      <c r="A28" s="308"/>
      <c r="B28" s="964" t="s">
        <v>28</v>
      </c>
      <c r="C28" s="961">
        <v>545</v>
      </c>
      <c r="D28" s="962">
        <v>22.1</v>
      </c>
      <c r="E28" s="961">
        <v>558.79999999999995</v>
      </c>
      <c r="F28" s="962">
        <v>22.1</v>
      </c>
      <c r="G28" s="961">
        <v>1258.8</v>
      </c>
      <c r="H28" s="962">
        <v>51.156724641799542</v>
      </c>
      <c r="I28" s="961">
        <v>1300.4000000000001</v>
      </c>
      <c r="J28" s="962">
        <v>46.1740306993213</v>
      </c>
      <c r="K28" s="961">
        <v>1725.1599999999999</v>
      </c>
      <c r="L28" s="962">
        <v>56.56416134136586</v>
      </c>
      <c r="M28" s="961">
        <v>1740.23</v>
      </c>
      <c r="N28" s="962">
        <v>60.079724900043921</v>
      </c>
      <c r="O28" s="970">
        <v>1906.22</v>
      </c>
      <c r="P28" s="971">
        <v>62.978691012445019</v>
      </c>
    </row>
    <row r="29" spans="1:16" ht="13.5" thickBot="1">
      <c r="A29" s="308"/>
      <c r="B29" s="963" t="s">
        <v>29</v>
      </c>
      <c r="C29" s="959">
        <v>2580.1</v>
      </c>
      <c r="D29" s="960">
        <v>39.9</v>
      </c>
      <c r="E29" s="959">
        <v>2792.5</v>
      </c>
      <c r="F29" s="960">
        <v>43.1</v>
      </c>
      <c r="G29" s="959">
        <v>3579.4</v>
      </c>
      <c r="H29" s="960">
        <v>61.732219472687412</v>
      </c>
      <c r="I29" s="959">
        <v>3818.7</v>
      </c>
      <c r="J29" s="960">
        <v>58.570836010039365</v>
      </c>
      <c r="K29" s="959">
        <v>4178.58</v>
      </c>
      <c r="L29" s="960">
        <v>63.863320643586704</v>
      </c>
      <c r="M29" s="959">
        <v>4509.87</v>
      </c>
      <c r="N29" s="960">
        <v>68.409693561917024</v>
      </c>
      <c r="O29" s="968">
        <v>4574.3100000000004</v>
      </c>
      <c r="P29" s="969">
        <v>69.387962655584815</v>
      </c>
    </row>
    <row r="30" spans="1:16" ht="13.5" thickBot="1">
      <c r="A30" s="308"/>
      <c r="B30" s="963" t="s">
        <v>37</v>
      </c>
      <c r="C30" s="959">
        <v>2575.1</v>
      </c>
      <c r="D30" s="960">
        <v>30.5</v>
      </c>
      <c r="E30" s="959">
        <v>2575.1</v>
      </c>
      <c r="F30" s="960">
        <v>34.4</v>
      </c>
      <c r="G30" s="959">
        <v>2577.1</v>
      </c>
      <c r="H30" s="960">
        <v>28.302327641746572</v>
      </c>
      <c r="I30" s="959">
        <v>2581.1</v>
      </c>
      <c r="J30" s="960">
        <v>30.546314943205548</v>
      </c>
      <c r="K30" s="959">
        <v>3004.1</v>
      </c>
      <c r="L30" s="960">
        <v>36.257255232418586</v>
      </c>
      <c r="M30" s="959">
        <v>3092.98</v>
      </c>
      <c r="N30" s="960">
        <v>39.563855053305268</v>
      </c>
      <c r="O30" s="968">
        <v>2826.43</v>
      </c>
      <c r="P30" s="969">
        <v>36.723375317659183</v>
      </c>
    </row>
    <row r="31" spans="1:16" ht="13.5" thickBot="1">
      <c r="A31" s="308"/>
      <c r="B31" s="964" t="s">
        <v>30</v>
      </c>
      <c r="C31" s="961">
        <v>943</v>
      </c>
      <c r="D31" s="962">
        <v>28.7</v>
      </c>
      <c r="E31" s="961">
        <v>872</v>
      </c>
      <c r="F31" s="962">
        <v>26.5</v>
      </c>
      <c r="G31" s="961">
        <v>1132.3</v>
      </c>
      <c r="H31" s="962">
        <v>37.468612339618005</v>
      </c>
      <c r="I31" s="961">
        <v>1207.3</v>
      </c>
      <c r="J31" s="962">
        <v>35.291882253208215</v>
      </c>
      <c r="K31" s="961">
        <v>1316.26</v>
      </c>
      <c r="L31" s="962">
        <v>19.93018162531629</v>
      </c>
      <c r="M31" s="961">
        <v>1309.2599999999998</v>
      </c>
      <c r="N31" s="962">
        <v>18.341080569927374</v>
      </c>
      <c r="O31" s="970">
        <v>1396.46</v>
      </c>
      <c r="P31" s="971">
        <v>19.519542656469785</v>
      </c>
    </row>
    <row r="32" spans="1:16" ht="17.25" customHeight="1" thickBot="1">
      <c r="A32" s="308"/>
      <c r="B32" s="963" t="s">
        <v>31</v>
      </c>
      <c r="C32" s="959">
        <v>2622.2</v>
      </c>
      <c r="D32" s="960">
        <v>36.9</v>
      </c>
      <c r="E32" s="959">
        <v>2642.2</v>
      </c>
      <c r="F32" s="960">
        <v>36.5</v>
      </c>
      <c r="G32" s="959">
        <v>3398.2</v>
      </c>
      <c r="H32" s="960">
        <v>43.995698164364811</v>
      </c>
      <c r="I32" s="959">
        <v>3444.1</v>
      </c>
      <c r="J32" s="960">
        <v>48.133790813001191</v>
      </c>
      <c r="K32" s="959">
        <v>3574.14</v>
      </c>
      <c r="L32" s="960">
        <v>49.665939209927117</v>
      </c>
      <c r="M32" s="959">
        <v>4050.66</v>
      </c>
      <c r="N32" s="960">
        <v>59.444810017234182</v>
      </c>
      <c r="O32" s="968">
        <v>4320.7</v>
      </c>
      <c r="P32" s="969">
        <v>64.753079248630698</v>
      </c>
    </row>
    <row r="33" spans="1:17" ht="13.5" thickBot="1">
      <c r="A33" s="308"/>
      <c r="B33" s="963" t="s">
        <v>32</v>
      </c>
      <c r="C33" s="959">
        <v>623.5</v>
      </c>
      <c r="D33" s="960">
        <v>43.3</v>
      </c>
      <c r="E33" s="959">
        <v>788.9</v>
      </c>
      <c r="F33" s="960">
        <v>54.6</v>
      </c>
      <c r="G33" s="959">
        <v>489.6</v>
      </c>
      <c r="H33" s="960">
        <v>29.709433855289891</v>
      </c>
      <c r="I33" s="959">
        <v>744.5</v>
      </c>
      <c r="J33" s="960">
        <v>49.409583417179405</v>
      </c>
      <c r="K33" s="959">
        <v>872.13</v>
      </c>
      <c r="L33" s="960">
        <v>55.878703643220739</v>
      </c>
      <c r="M33" s="959">
        <v>872.05000000000007</v>
      </c>
      <c r="N33" s="960">
        <v>58.174798951648945</v>
      </c>
      <c r="O33" s="968">
        <v>890.63</v>
      </c>
      <c r="P33" s="969">
        <v>58.448176341330196</v>
      </c>
    </row>
    <row r="34" spans="1:17" ht="13.5" thickBot="1">
      <c r="A34" s="308"/>
      <c r="B34" s="964" t="s">
        <v>262</v>
      </c>
      <c r="C34" s="961">
        <v>1194.3</v>
      </c>
      <c r="D34" s="962">
        <v>10.199999999999999</v>
      </c>
      <c r="E34" s="961">
        <v>2802.7</v>
      </c>
      <c r="F34" s="962">
        <v>23.6</v>
      </c>
      <c r="G34" s="961">
        <v>2604.6999999999998</v>
      </c>
      <c r="H34" s="962">
        <v>22.931850867911034</v>
      </c>
      <c r="I34" s="961">
        <v>2533.8000000000002</v>
      </c>
      <c r="J34" s="962">
        <v>20.379224962106345</v>
      </c>
      <c r="K34" s="961">
        <v>2653.82</v>
      </c>
      <c r="L34" s="962">
        <v>21.555611980075522</v>
      </c>
      <c r="M34" s="961">
        <v>3171</v>
      </c>
      <c r="N34" s="962">
        <v>26.612308469793678</v>
      </c>
      <c r="O34" s="970">
        <v>4093.29</v>
      </c>
      <c r="P34" s="971">
        <v>32.940923409285027</v>
      </c>
    </row>
    <row r="35" spans="1:17" ht="13.5" thickBot="1">
      <c r="A35" s="308"/>
      <c r="B35" s="963" t="s">
        <v>34</v>
      </c>
      <c r="C35" s="959">
        <v>140.9</v>
      </c>
      <c r="D35" s="960">
        <v>4.4000000000000004</v>
      </c>
      <c r="E35" s="959">
        <v>140.9</v>
      </c>
      <c r="F35" s="960">
        <v>4.4000000000000004</v>
      </c>
      <c r="G35" s="959">
        <v>140.9</v>
      </c>
      <c r="H35" s="960">
        <v>93.004090488254477</v>
      </c>
      <c r="I35" s="959">
        <v>66.5</v>
      </c>
      <c r="J35" s="960">
        <v>1.7716325660699059</v>
      </c>
      <c r="K35" s="959">
        <v>67.5</v>
      </c>
      <c r="L35" s="960">
        <v>2.0798131742424628</v>
      </c>
      <c r="M35" s="959">
        <v>68.5</v>
      </c>
      <c r="N35" s="960">
        <v>2.0867857627264308</v>
      </c>
      <c r="O35" s="968">
        <v>81.99</v>
      </c>
      <c r="P35" s="969">
        <v>2.3911727721421987</v>
      </c>
    </row>
    <row r="36" spans="1:17" ht="13.5" thickBot="1">
      <c r="A36" s="308"/>
      <c r="B36" s="963" t="s">
        <v>35</v>
      </c>
      <c r="C36" s="959">
        <v>166.1</v>
      </c>
      <c r="D36" s="960">
        <v>4.5999999999999996</v>
      </c>
      <c r="E36" s="959">
        <v>256.39999999999998</v>
      </c>
      <c r="F36" s="960">
        <v>7</v>
      </c>
      <c r="G36" s="959">
        <v>252.4</v>
      </c>
      <c r="H36" s="960">
        <v>7.3118072000952061</v>
      </c>
      <c r="I36" s="959">
        <v>342.6</v>
      </c>
      <c r="J36" s="960">
        <v>8.6002265278581067</v>
      </c>
      <c r="K36" s="959">
        <v>417.70000000000005</v>
      </c>
      <c r="L36" s="960">
        <v>10.039963628254474</v>
      </c>
      <c r="M36" s="959">
        <v>461</v>
      </c>
      <c r="N36" s="960">
        <v>12.130559373853051</v>
      </c>
      <c r="O36" s="968">
        <v>644.63</v>
      </c>
      <c r="P36" s="969">
        <v>16.133915881750081</v>
      </c>
    </row>
    <row r="37" spans="1:17" ht="17.25" customHeight="1" thickBot="1">
      <c r="A37" s="308"/>
      <c r="B37" s="965" t="s">
        <v>52</v>
      </c>
      <c r="C37" s="966">
        <v>60242.55000000001</v>
      </c>
      <c r="D37" s="967">
        <v>29.7</v>
      </c>
      <c r="E37" s="966">
        <v>64541.94000000001</v>
      </c>
      <c r="F37" s="967">
        <v>31.5</v>
      </c>
      <c r="G37" s="966">
        <v>71784.84</v>
      </c>
      <c r="H37" s="967">
        <v>35.013484618875594</v>
      </c>
      <c r="I37" s="966">
        <v>74388.220000000016</v>
      </c>
      <c r="J37" s="967">
        <v>36.139312861637855</v>
      </c>
      <c r="K37" s="966">
        <v>79294.330000000016</v>
      </c>
      <c r="L37" s="967">
        <v>38.282089963989364</v>
      </c>
      <c r="M37" s="966">
        <v>83639.609999999986</v>
      </c>
      <c r="N37" s="967">
        <v>38.282089963989364</v>
      </c>
      <c r="O37" s="966">
        <v>88127.08</v>
      </c>
      <c r="P37" s="967">
        <v>42.147144752162106</v>
      </c>
    </row>
    <row r="38" spans="1:17" ht="6" customHeight="1">
      <c r="A38" s="308"/>
      <c r="C38" s="310"/>
      <c r="D38" s="310"/>
      <c r="E38" s="310"/>
      <c r="F38" s="309"/>
      <c r="G38" s="308"/>
    </row>
    <row r="39" spans="1:17" s="263" customFormat="1">
      <c r="A39" s="308"/>
      <c r="B39" s="1373" t="s">
        <v>583</v>
      </c>
      <c r="C39" s="1373"/>
      <c r="D39" s="1373"/>
      <c r="E39" s="1373"/>
      <c r="F39" s="306"/>
      <c r="G39" s="306"/>
      <c r="H39" s="306"/>
      <c r="I39" s="310"/>
      <c r="J39" s="310"/>
      <c r="K39" s="310"/>
      <c r="L39" s="310"/>
      <c r="M39" s="310"/>
      <c r="N39" s="310"/>
      <c r="O39" s="309"/>
      <c r="P39" s="309"/>
      <c r="Q39" s="308"/>
    </row>
    <row r="40" spans="1:17" s="263" customFormat="1" ht="7.5" customHeight="1">
      <c r="A40" s="308"/>
      <c r="B40" s="299"/>
      <c r="C40" s="273"/>
      <c r="D40" s="301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311"/>
      <c r="P40" s="311"/>
      <c r="Q40" s="308"/>
    </row>
    <row r="41" spans="1:17" s="263" customFormat="1">
      <c r="A41" s="308"/>
      <c r="B41" s="957" t="s">
        <v>582</v>
      </c>
      <c r="D41" s="958"/>
      <c r="Q41" s="308"/>
    </row>
    <row r="42" spans="1:17">
      <c r="A42" s="308"/>
      <c r="B42" s="871"/>
      <c r="C42" s="273"/>
      <c r="D42" s="273"/>
      <c r="E42" s="273"/>
      <c r="F42" s="311"/>
      <c r="G42" s="308"/>
    </row>
    <row r="43" spans="1:17">
      <c r="A43" s="61"/>
      <c r="G43" s="61"/>
    </row>
    <row r="44" spans="1:17">
      <c r="A44" s="61"/>
      <c r="G44" s="61"/>
    </row>
    <row r="45" spans="1:17">
      <c r="A45" s="61"/>
      <c r="G45" s="61"/>
    </row>
    <row r="46" spans="1:17">
      <c r="A46" s="61"/>
      <c r="G46" s="61"/>
    </row>
    <row r="49" spans="2:2">
      <c r="B49" s="242"/>
    </row>
  </sheetData>
  <sheetProtection password="CF4C" sheet="1" objects="1" scenarios="1"/>
  <customSheetViews>
    <customSheetView guid="{E9B43C8C-734F-433D-AD37-344F9303B5CC}" showGridLines="0" showRuler="0" topLeftCell="C1">
      <pane ySplit="16" topLeftCell="A32"/>
      <selection activeCell="G5" sqref="G5"/>
      <pageMargins left="0.19685039370078741" right="0.19685039370078741" top="0.39370078740157483" bottom="0.39370078740157483" header="0.39370078740157483" footer="0.39370078740157483"/>
      <printOptions horizontalCentered="1"/>
      <pageSetup scale="67" orientation="portrait" r:id="rId1"/>
      <headerFooter alignWithMargins="0"/>
    </customSheetView>
    <customSheetView guid="{9BF398E0-33D8-4E64-94A2-9B7C822C8383}" showGridLines="0" showRuler="0">
      <pane ySplit="16" topLeftCell="A32"/>
      <pageMargins left="0.19685039370078741" right="0.19685039370078741" top="0.39370078740157483" bottom="0.39370078740157483" header="0.39370078740157483" footer="0.39370078740157483"/>
      <printOptions horizontalCentered="1"/>
      <pageSetup scale="67" orientation="portrait" r:id="rId2"/>
      <headerFooter alignWithMargins="0"/>
    </customSheetView>
    <customSheetView guid="{9E220BD5-A526-40BD-8239-3A0461590922}" showGridLines="0" showRuler="0" topLeftCell="C1">
      <pane ySplit="16" topLeftCell="A32"/>
      <selection activeCell="M15" sqref="M15"/>
      <colBreaks count="1" manualBreakCount="1">
        <brk id="11" max="1048575" man="1"/>
      </colBreaks>
      <pageMargins left="0.19685039370078741" right="0.19685039370078741" top="0.39370078740157483" bottom="0.39370078740157483" header="0.39370078740157483" footer="0.39370078740157483"/>
      <printOptions horizontalCentered="1"/>
      <pageSetup scale="67" orientation="portrait" r:id="rId3"/>
      <headerFooter alignWithMargins="0"/>
    </customSheetView>
  </customSheetViews>
  <mergeCells count="10">
    <mergeCell ref="B2:P2"/>
    <mergeCell ref="M3:N3"/>
    <mergeCell ref="B3:B4"/>
    <mergeCell ref="C3:D3"/>
    <mergeCell ref="E3:F3"/>
    <mergeCell ref="B39:E39"/>
    <mergeCell ref="G3:H3"/>
    <mergeCell ref="I3:J3"/>
    <mergeCell ref="K3:L3"/>
    <mergeCell ref="O3:P3"/>
  </mergeCells>
  <phoneticPr fontId="9" type="noConversion"/>
  <conditionalFormatting sqref="N35:N36">
    <cfRule type="cellIs" dxfId="71" priority="13" operator="notBetween">
      <formula>L35*1.5</formula>
      <formula>L35*0.5</formula>
    </cfRule>
    <cfRule type="cellIs" dxfId="70" priority="14" operator="notBetween">
      <formula>L35*1.2</formula>
      <formula>L35*0.8</formula>
    </cfRule>
  </conditionalFormatting>
  <conditionalFormatting sqref="F5:F36">
    <cfRule type="cellIs" dxfId="69" priority="53" operator="notBetween">
      <formula>D5*1.2</formula>
      <formula>D5*0.8</formula>
    </cfRule>
    <cfRule type="cellIs" dxfId="68" priority="54" operator="notBetween">
      <formula>D5*1.5</formula>
      <formula>D5*0.5</formula>
    </cfRule>
  </conditionalFormatting>
  <conditionalFormatting sqref="H5:H36">
    <cfRule type="cellIs" dxfId="67" priority="51" operator="notBetween">
      <formula>F5*1.5</formula>
      <formula>F5*0.5</formula>
    </cfRule>
    <cfRule type="cellIs" dxfId="66" priority="52" operator="notBetween">
      <formula>F5*1.2</formula>
      <formula>F5*0.8</formula>
    </cfRule>
  </conditionalFormatting>
  <conditionalFormatting sqref="F5:F36">
    <cfRule type="cellIs" dxfId="65" priority="49" operator="notBetween">
      <formula>D5*1.5</formula>
      <formula>D5*0.5</formula>
    </cfRule>
    <cfRule type="cellIs" dxfId="64" priority="50" operator="notBetween">
      <formula>D5*1.2</formula>
      <formula>D5*0.8</formula>
    </cfRule>
  </conditionalFormatting>
  <conditionalFormatting sqref="J5:J36">
    <cfRule type="cellIs" dxfId="63" priority="47" operator="notBetween">
      <formula>H5*1.2</formula>
      <formula>H5*0.8</formula>
    </cfRule>
    <cfRule type="cellIs" dxfId="62" priority="48" operator="notBetween">
      <formula>H5*1.5</formula>
      <formula>H5*0.5</formula>
    </cfRule>
  </conditionalFormatting>
  <conditionalFormatting sqref="J5:J36">
    <cfRule type="cellIs" dxfId="61" priority="45" operator="notBetween">
      <formula>H5*1.5</formula>
      <formula>H5*0.5</formula>
    </cfRule>
    <cfRule type="cellIs" dxfId="60" priority="46" operator="notBetween">
      <formula>H5*1.2</formula>
      <formula>H5*0.8</formula>
    </cfRule>
  </conditionalFormatting>
  <conditionalFormatting sqref="L5:L36">
    <cfRule type="cellIs" dxfId="59" priority="43" operator="notBetween">
      <formula>J5*1.2</formula>
      <formula>J5*0.8</formula>
    </cfRule>
    <cfRule type="cellIs" dxfId="58" priority="44" operator="notBetween">
      <formula>J5*1.5</formula>
      <formula>J5*0.5</formula>
    </cfRule>
  </conditionalFormatting>
  <conditionalFormatting sqref="L5:L36">
    <cfRule type="cellIs" dxfId="57" priority="41" operator="notBetween">
      <formula>J5*1.5</formula>
      <formula>J5*0.5</formula>
    </cfRule>
    <cfRule type="cellIs" dxfId="56" priority="42" operator="notBetween">
      <formula>J5*1.2</formula>
      <formula>J5*0.8</formula>
    </cfRule>
  </conditionalFormatting>
  <conditionalFormatting sqref="N5:N36">
    <cfRule type="cellIs" dxfId="55" priority="39" operator="notBetween">
      <formula>L5*1.2</formula>
      <formula>L5*0.8</formula>
    </cfRule>
    <cfRule type="cellIs" dxfId="54" priority="40" operator="notBetween">
      <formula>L5*1.5</formula>
      <formula>L5*0.5</formula>
    </cfRule>
  </conditionalFormatting>
  <conditionalFormatting sqref="N5:N36">
    <cfRule type="cellIs" dxfId="53" priority="37" operator="notBetween">
      <formula>L5*1.5</formula>
      <formula>L5*0.5</formula>
    </cfRule>
    <cfRule type="cellIs" dxfId="52" priority="38" operator="notBetween">
      <formula>L5*1.2</formula>
      <formula>L5*0.8</formula>
    </cfRule>
  </conditionalFormatting>
  <conditionalFormatting sqref="N5:N6">
    <cfRule type="cellIs" dxfId="51" priority="35" operator="notBetween">
      <formula>L5*1.2</formula>
      <formula>L5*0.8</formula>
    </cfRule>
    <cfRule type="cellIs" dxfId="50" priority="36" operator="notBetween">
      <formula>L5*1.5</formula>
      <formula>L5*0.5</formula>
    </cfRule>
  </conditionalFormatting>
  <conditionalFormatting sqref="N5:N6">
    <cfRule type="cellIs" dxfId="49" priority="33" operator="notBetween">
      <formula>L5*1.5</formula>
      <formula>L5*0.5</formula>
    </cfRule>
    <cfRule type="cellIs" dxfId="48" priority="34" operator="notBetween">
      <formula>L5*1.2</formula>
      <formula>L5*0.8</formula>
    </cfRule>
  </conditionalFormatting>
  <conditionalFormatting sqref="N5:N7">
    <cfRule type="cellIs" dxfId="47" priority="31" operator="notBetween">
      <formula>L5*1.2</formula>
      <formula>L5*0.8</formula>
    </cfRule>
    <cfRule type="cellIs" dxfId="46" priority="32" operator="notBetween">
      <formula>L5*1.5</formula>
      <formula>L5*0.5</formula>
    </cfRule>
  </conditionalFormatting>
  <conditionalFormatting sqref="N5:N7">
    <cfRule type="cellIs" dxfId="45" priority="29" operator="notBetween">
      <formula>L5*1.5</formula>
      <formula>L5*0.5</formula>
    </cfRule>
    <cfRule type="cellIs" dxfId="44" priority="30" operator="notBetween">
      <formula>L5*1.2</formula>
      <formula>L5*0.8</formula>
    </cfRule>
  </conditionalFormatting>
  <conditionalFormatting sqref="N8:N10">
    <cfRule type="cellIs" dxfId="43" priority="27" operator="notBetween">
      <formula>L8*1.2</formula>
      <formula>L8*0.8</formula>
    </cfRule>
    <cfRule type="cellIs" dxfId="42" priority="28" operator="notBetween">
      <formula>L8*1.5</formula>
      <formula>L8*0.5</formula>
    </cfRule>
  </conditionalFormatting>
  <conditionalFormatting sqref="N8:N10">
    <cfRule type="cellIs" dxfId="41" priority="25" operator="notBetween">
      <formula>L8*1.5</formula>
      <formula>L8*0.5</formula>
    </cfRule>
    <cfRule type="cellIs" dxfId="40" priority="26" operator="notBetween">
      <formula>L8*1.2</formula>
      <formula>L8*0.8</formula>
    </cfRule>
  </conditionalFormatting>
  <conditionalFormatting sqref="N11:N13">
    <cfRule type="cellIs" dxfId="39" priority="23" operator="notBetween">
      <formula>L11*1.2</formula>
      <formula>L11*0.8</formula>
    </cfRule>
    <cfRule type="cellIs" dxfId="38" priority="24" operator="notBetween">
      <formula>L11*1.5</formula>
      <formula>L11*0.5</formula>
    </cfRule>
  </conditionalFormatting>
  <conditionalFormatting sqref="N11:N13">
    <cfRule type="cellIs" dxfId="37" priority="21" operator="notBetween">
      <formula>L11*1.5</formula>
      <formula>L11*0.5</formula>
    </cfRule>
    <cfRule type="cellIs" dxfId="36" priority="22" operator="notBetween">
      <formula>L11*1.2</formula>
      <formula>L11*0.8</formula>
    </cfRule>
  </conditionalFormatting>
  <conditionalFormatting sqref="N14:N34">
    <cfRule type="cellIs" dxfId="35" priority="19" operator="notBetween">
      <formula>L14*1.2</formula>
      <formula>L14*0.8</formula>
    </cfRule>
    <cfRule type="cellIs" dxfId="34" priority="20" operator="notBetween">
      <formula>L14*1.5</formula>
      <formula>L14*0.5</formula>
    </cfRule>
  </conditionalFormatting>
  <conditionalFormatting sqref="N14:N34">
    <cfRule type="cellIs" dxfId="33" priority="17" operator="notBetween">
      <formula>L14*1.5</formula>
      <formula>L14*0.5</formula>
    </cfRule>
    <cfRule type="cellIs" dxfId="32" priority="18" operator="notBetween">
      <formula>L14*1.2</formula>
      <formula>L14*0.8</formula>
    </cfRule>
  </conditionalFormatting>
  <conditionalFormatting sqref="N35:N36">
    <cfRule type="cellIs" dxfId="31" priority="15" operator="notBetween">
      <formula>L35*1.2</formula>
      <formula>L35*0.8</formula>
    </cfRule>
    <cfRule type="cellIs" dxfId="30" priority="16" operator="notBetween">
      <formula>L35*1.5</formula>
      <formula>L35*0.5</formula>
    </cfRule>
  </conditionalFormatting>
  <conditionalFormatting sqref="P5:P36">
    <cfRule type="cellIs" dxfId="29" priority="11" operator="notBetween">
      <formula>N5*1.2</formula>
      <formula>N5*0.8</formula>
    </cfRule>
    <cfRule type="cellIs" dxfId="28" priority="12" operator="notBetween">
      <formula>N5*1.5</formula>
      <formula>N5*0.5</formula>
    </cfRule>
  </conditionalFormatting>
  <conditionalFormatting sqref="P5:P36">
    <cfRule type="cellIs" dxfId="27" priority="9" operator="notBetween">
      <formula>N5*1.5</formula>
      <formula>N5*0.5</formula>
    </cfRule>
    <cfRule type="cellIs" dxfId="26" priority="10" operator="notBetween">
      <formula>N5*1.2</formula>
      <formula>N5*0.8</formula>
    </cfRule>
  </conditionalFormatting>
  <conditionalFormatting sqref="P5:P6 P8:P9 P11:P12 P14:P15 P17:P18 P20:P21 P23:P24 P26:P27 P29:P30 P32:P33 P35:P36">
    <cfRule type="cellIs" dxfId="25" priority="7" operator="notBetween">
      <formula>N5*1.2</formula>
      <formula>N5*0.8</formula>
    </cfRule>
    <cfRule type="cellIs" dxfId="24" priority="8" operator="notBetween">
      <formula>N5*1.5</formula>
      <formula>N5*0.5</formula>
    </cfRule>
  </conditionalFormatting>
  <conditionalFormatting sqref="P5:P6 P8:P9 P11:P12 P14:P15 P17:P18 P20:P21 P23:P24 P26:P27 P29:P30 P32:P33 P35:P36">
    <cfRule type="cellIs" dxfId="23" priority="5" operator="notBetween">
      <formula>N5*1.5</formula>
      <formula>N5*0.5</formula>
    </cfRule>
    <cfRule type="cellIs" dxfId="22" priority="6" operator="notBetween">
      <formula>N5*1.2</formula>
      <formula>N5*0.8</formula>
    </cfRule>
  </conditionalFormatting>
  <conditionalFormatting sqref="P5:P36">
    <cfRule type="cellIs" dxfId="21" priority="3" operator="notBetween">
      <formula>N5*1.2</formula>
      <formula>N5*0.8</formula>
    </cfRule>
    <cfRule type="cellIs" dxfId="20" priority="4" operator="notBetween">
      <formula>N5*1.5</formula>
      <formula>N5*0.5</formula>
    </cfRule>
  </conditionalFormatting>
  <conditionalFormatting sqref="P5:P36">
    <cfRule type="cellIs" dxfId="19" priority="1" operator="notBetween">
      <formula>N5*1.5</formula>
      <formula>N5*0.5</formula>
    </cfRule>
    <cfRule type="cellIs" dxfId="18" priority="2" operator="notBetween">
      <formula>N5*1.2</formula>
      <formula>N5*0.8</formula>
    </cfRule>
  </conditionalFormatting>
  <printOptions horizontalCentered="1"/>
  <pageMargins left="0.19685039370078741" right="0.19685039370078741" top="0.39370078740157483" bottom="0.39370078740157483" header="0.39370078740157483" footer="0.39370078740157483"/>
  <pageSetup scale="94" orientation="landscape" r:id="rId4"/>
  <headerFooter alignWithMargins="0"/>
  <drawing r:id="rId5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D8C57E"/>
    <pageSetUpPr fitToPage="1"/>
  </sheetPr>
  <dimension ref="A1:BB39"/>
  <sheetViews>
    <sheetView showGridLines="0" zoomScale="70" zoomScaleNormal="70" workbookViewId="0">
      <selection sqref="A1:XFD1048576"/>
    </sheetView>
  </sheetViews>
  <sheetFormatPr baseColWidth="10" defaultRowHeight="12.75"/>
  <cols>
    <col min="1" max="1" width="1.7109375" style="253" customWidth="1"/>
    <col min="2" max="2" width="26.7109375" style="253" customWidth="1"/>
    <col min="3" max="3" width="6.42578125" style="253" bestFit="1" customWidth="1"/>
    <col min="4" max="4" width="8.85546875" style="253" bestFit="1" customWidth="1"/>
    <col min="5" max="5" width="6.42578125" style="253" bestFit="1" customWidth="1"/>
    <col min="6" max="6" width="10.7109375" style="253" bestFit="1" customWidth="1"/>
    <col min="7" max="7" width="7.42578125" style="253" bestFit="1" customWidth="1"/>
    <col min="8" max="8" width="11.140625" style="253" bestFit="1" customWidth="1"/>
    <col min="9" max="9" width="8.42578125" style="253" bestFit="1" customWidth="1"/>
    <col min="10" max="10" width="15" style="253" bestFit="1" customWidth="1"/>
    <col min="11" max="11" width="7.42578125" style="253" bestFit="1" customWidth="1"/>
    <col min="12" max="12" width="14.140625" style="253" bestFit="1" customWidth="1"/>
    <col min="13" max="13" width="8.42578125" style="253" bestFit="1" customWidth="1"/>
    <col min="14" max="14" width="15.28515625" style="253" bestFit="1" customWidth="1"/>
    <col min="15" max="15" width="7.42578125" style="253" bestFit="1" customWidth="1"/>
    <col min="16" max="16" width="14.140625" style="253" bestFit="1" customWidth="1"/>
    <col min="17" max="17" width="7.42578125" style="253" bestFit="1" customWidth="1"/>
    <col min="18" max="18" width="14.140625" style="253" bestFit="1" customWidth="1"/>
    <col min="19" max="19" width="3.7109375" style="253" customWidth="1"/>
    <col min="20" max="20" width="27.85546875" style="253" customWidth="1"/>
    <col min="21" max="21" width="12.140625" style="253" bestFit="1" customWidth="1"/>
    <col min="22" max="22" width="8.7109375" style="253" customWidth="1"/>
    <col min="23" max="23" width="8" style="253" customWidth="1"/>
    <col min="24" max="24" width="8.85546875" style="253" customWidth="1"/>
    <col min="25" max="25" width="7.5703125" style="253" bestFit="1" customWidth="1"/>
    <col min="26" max="26" width="8.85546875" style="253" customWidth="1"/>
    <col min="27" max="27" width="11" style="253" bestFit="1" customWidth="1"/>
    <col min="28" max="28" width="10.42578125" style="253" bestFit="1" customWidth="1"/>
    <col min="29" max="29" width="12.140625" style="253" bestFit="1" customWidth="1"/>
    <col min="30" max="30" width="8.85546875" style="253" customWidth="1"/>
    <col min="31" max="31" width="11" style="253" bestFit="1" customWidth="1"/>
    <col min="32" max="32" width="9.140625" style="253" bestFit="1" customWidth="1"/>
    <col min="33" max="33" width="11" style="56" bestFit="1" customWidth="1"/>
    <col min="34" max="34" width="8.85546875" style="253" bestFit="1" customWidth="1"/>
    <col min="35" max="35" width="13.5703125" style="253" bestFit="1" customWidth="1"/>
    <col min="36" max="36" width="13.42578125" style="253" bestFit="1" customWidth="1"/>
    <col min="37" max="37" width="0.85546875" style="253" customWidth="1"/>
    <col min="38" max="38" width="11.42578125" style="253"/>
    <col min="39" max="39" width="2.42578125" style="253" bestFit="1" customWidth="1"/>
    <col min="40" max="40" width="4.42578125" style="253" bestFit="1" customWidth="1"/>
    <col min="41" max="41" width="3" style="253" bestFit="1" customWidth="1"/>
    <col min="42" max="42" width="4.42578125" style="253" bestFit="1" customWidth="1"/>
    <col min="43" max="43" width="3" style="253" bestFit="1" customWidth="1"/>
    <col min="44" max="44" width="4.42578125" style="253" bestFit="1" customWidth="1"/>
    <col min="45" max="45" width="3" style="253" bestFit="1" customWidth="1"/>
    <col min="46" max="46" width="5.42578125" style="253" bestFit="1" customWidth="1"/>
    <col min="47" max="47" width="2.42578125" style="253" bestFit="1" customWidth="1"/>
    <col min="48" max="48" width="3" style="253" bestFit="1" customWidth="1"/>
    <col min="49" max="49" width="2.42578125" style="253" bestFit="1" customWidth="1"/>
    <col min="50" max="51" width="3" style="253" bestFit="1" customWidth="1"/>
    <col min="52" max="52" width="6.42578125" style="253" bestFit="1" customWidth="1"/>
    <col min="53" max="53" width="5" style="253" bestFit="1" customWidth="1"/>
    <col min="54" max="54" width="9.42578125" style="253" bestFit="1" customWidth="1"/>
    <col min="55" max="16384" width="11.42578125" style="253"/>
  </cols>
  <sheetData>
    <row r="1" spans="1:54" s="251" customFormat="1" ht="15.75">
      <c r="A1" s="312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4"/>
      <c r="AH1" s="313"/>
      <c r="AI1" s="313"/>
      <c r="AJ1" s="313"/>
      <c r="AK1" s="312"/>
      <c r="AM1" s="250"/>
    </row>
    <row r="2" spans="1:54" ht="46.5" customHeight="1" thickBot="1">
      <c r="A2" s="315"/>
      <c r="B2" s="1357" t="s">
        <v>452</v>
      </c>
      <c r="C2" s="1357"/>
      <c r="D2" s="1357"/>
      <c r="E2" s="1357"/>
      <c r="F2" s="1357"/>
      <c r="G2" s="1357"/>
      <c r="H2" s="1357"/>
      <c r="I2" s="1357"/>
      <c r="J2" s="1357"/>
      <c r="K2" s="1357"/>
      <c r="L2" s="1357"/>
      <c r="M2" s="1357"/>
      <c r="N2" s="1357"/>
      <c r="O2" s="1357"/>
      <c r="P2" s="1357"/>
      <c r="Q2" s="1357"/>
      <c r="R2" s="1357"/>
      <c r="S2" s="313"/>
      <c r="T2" s="1357" t="s">
        <v>453</v>
      </c>
      <c r="U2" s="1357"/>
      <c r="V2" s="1357"/>
      <c r="W2" s="1357"/>
      <c r="X2" s="1357"/>
      <c r="Y2" s="1357"/>
      <c r="Z2" s="1357"/>
      <c r="AA2" s="1357"/>
      <c r="AB2" s="1357"/>
      <c r="AC2" s="1357"/>
      <c r="AD2" s="1357"/>
      <c r="AE2" s="1357"/>
      <c r="AF2" s="1357"/>
      <c r="AG2" s="1357"/>
      <c r="AH2" s="1357"/>
      <c r="AI2" s="1357"/>
      <c r="AJ2" s="1357"/>
      <c r="AK2" s="316"/>
      <c r="AM2" s="252"/>
      <c r="AN2" s="254"/>
    </row>
    <row r="3" spans="1:54" ht="48.75" customHeight="1" thickBot="1">
      <c r="A3" s="315"/>
      <c r="B3" s="1381" t="s">
        <v>230</v>
      </c>
      <c r="C3" s="1364" t="s">
        <v>335</v>
      </c>
      <c r="D3" s="1366"/>
      <c r="E3" s="1379" t="s">
        <v>336</v>
      </c>
      <c r="F3" s="1380"/>
      <c r="G3" s="1379" t="s">
        <v>337</v>
      </c>
      <c r="H3" s="1380"/>
      <c r="I3" s="1379" t="s">
        <v>338</v>
      </c>
      <c r="J3" s="1380"/>
      <c r="K3" s="1379" t="s">
        <v>339</v>
      </c>
      <c r="L3" s="1380"/>
      <c r="M3" s="1379" t="s">
        <v>340</v>
      </c>
      <c r="N3" s="1380"/>
      <c r="O3" s="1379" t="s">
        <v>341</v>
      </c>
      <c r="P3" s="1380"/>
      <c r="Q3" s="1379" t="s">
        <v>342</v>
      </c>
      <c r="R3" s="1380"/>
      <c r="S3" s="313"/>
      <c r="T3" s="1381" t="s">
        <v>230</v>
      </c>
      <c r="U3" s="1364" t="s">
        <v>97</v>
      </c>
      <c r="V3" s="1366"/>
      <c r="W3" s="1379" t="s">
        <v>343</v>
      </c>
      <c r="X3" s="1380"/>
      <c r="Y3" s="1379" t="s">
        <v>344</v>
      </c>
      <c r="Z3" s="1380"/>
      <c r="AA3" s="1379" t="s">
        <v>345</v>
      </c>
      <c r="AB3" s="1380"/>
      <c r="AC3" s="1379" t="s">
        <v>346</v>
      </c>
      <c r="AD3" s="1380"/>
      <c r="AE3" s="1379" t="s">
        <v>347</v>
      </c>
      <c r="AF3" s="1380"/>
      <c r="AG3" s="1379" t="s">
        <v>300</v>
      </c>
      <c r="AH3" s="1380"/>
      <c r="AI3" s="1379" t="s">
        <v>322</v>
      </c>
      <c r="AJ3" s="1380"/>
      <c r="AK3" s="316"/>
      <c r="AM3" s="252"/>
      <c r="AN3" s="254"/>
    </row>
    <row r="4" spans="1:54" ht="18.75" customHeight="1" thickBot="1">
      <c r="A4" s="315"/>
      <c r="B4" s="1382"/>
      <c r="C4" s="940" t="s">
        <v>500</v>
      </c>
      <c r="D4" s="941" t="s">
        <v>123</v>
      </c>
      <c r="E4" s="940" t="s">
        <v>500</v>
      </c>
      <c r="F4" s="941" t="s">
        <v>123</v>
      </c>
      <c r="G4" s="940" t="s">
        <v>500</v>
      </c>
      <c r="H4" s="941" t="s">
        <v>123</v>
      </c>
      <c r="I4" s="940" t="s">
        <v>500</v>
      </c>
      <c r="J4" s="941" t="s">
        <v>123</v>
      </c>
      <c r="K4" s="940" t="s">
        <v>500</v>
      </c>
      <c r="L4" s="941" t="s">
        <v>123</v>
      </c>
      <c r="M4" s="940" t="s">
        <v>500</v>
      </c>
      <c r="N4" s="941" t="s">
        <v>123</v>
      </c>
      <c r="O4" s="940" t="s">
        <v>500</v>
      </c>
      <c r="P4" s="941" t="s">
        <v>123</v>
      </c>
      <c r="Q4" s="940" t="s">
        <v>500</v>
      </c>
      <c r="R4" s="941" t="s">
        <v>123</v>
      </c>
      <c r="S4" s="313"/>
      <c r="T4" s="1382"/>
      <c r="U4" s="940" t="s">
        <v>500</v>
      </c>
      <c r="V4" s="941" t="s">
        <v>123</v>
      </c>
      <c r="W4" s="940" t="s">
        <v>500</v>
      </c>
      <c r="X4" s="941" t="s">
        <v>123</v>
      </c>
      <c r="Y4" s="940" t="s">
        <v>500</v>
      </c>
      <c r="Z4" s="941" t="s">
        <v>123</v>
      </c>
      <c r="AA4" s="940" t="s">
        <v>500</v>
      </c>
      <c r="AB4" s="941" t="s">
        <v>123</v>
      </c>
      <c r="AC4" s="940" t="s">
        <v>500</v>
      </c>
      <c r="AD4" s="941" t="s">
        <v>123</v>
      </c>
      <c r="AE4" s="940" t="s">
        <v>500</v>
      </c>
      <c r="AF4" s="941" t="s">
        <v>123</v>
      </c>
      <c r="AG4" s="940" t="s">
        <v>500</v>
      </c>
      <c r="AH4" s="941" t="s">
        <v>123</v>
      </c>
      <c r="AI4" s="940" t="s">
        <v>500</v>
      </c>
      <c r="AJ4" s="941" t="s">
        <v>123</v>
      </c>
      <c r="AK4" s="316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</row>
    <row r="5" spans="1:54" ht="18.95" customHeight="1" thickBot="1">
      <c r="A5" s="315"/>
      <c r="B5" s="915" t="s">
        <v>6</v>
      </c>
      <c r="C5" s="916">
        <v>0</v>
      </c>
      <c r="D5" s="917">
        <v>0</v>
      </c>
      <c r="E5" s="916">
        <v>1</v>
      </c>
      <c r="F5" s="917">
        <v>1900</v>
      </c>
      <c r="G5" s="916">
        <v>0</v>
      </c>
      <c r="H5" s="918">
        <v>0</v>
      </c>
      <c r="I5" s="916">
        <v>66</v>
      </c>
      <c r="J5" s="917">
        <v>150.44999999999999</v>
      </c>
      <c r="K5" s="916">
        <v>0</v>
      </c>
      <c r="L5" s="917">
        <v>0</v>
      </c>
      <c r="M5" s="916">
        <v>34</v>
      </c>
      <c r="N5" s="917">
        <v>1289.27</v>
      </c>
      <c r="O5" s="916">
        <v>0</v>
      </c>
      <c r="P5" s="917">
        <v>0</v>
      </c>
      <c r="Q5" s="916">
        <v>0</v>
      </c>
      <c r="R5" s="917">
        <v>0</v>
      </c>
      <c r="S5" s="313"/>
      <c r="T5" s="915" t="s">
        <v>6</v>
      </c>
      <c r="U5" s="916">
        <v>0</v>
      </c>
      <c r="V5" s="917">
        <v>0</v>
      </c>
      <c r="W5" s="916">
        <v>0</v>
      </c>
      <c r="X5" s="917">
        <v>0</v>
      </c>
      <c r="Y5" s="916">
        <v>0</v>
      </c>
      <c r="Z5" s="918">
        <v>0</v>
      </c>
      <c r="AA5" s="916">
        <v>13</v>
      </c>
      <c r="AB5" s="917">
        <v>11.1</v>
      </c>
      <c r="AC5" s="916">
        <v>3</v>
      </c>
      <c r="AD5" s="917">
        <v>3.4</v>
      </c>
      <c r="AE5" s="916">
        <v>0</v>
      </c>
      <c r="AF5" s="917">
        <v>0</v>
      </c>
      <c r="AG5" s="916">
        <v>0</v>
      </c>
      <c r="AH5" s="917">
        <v>0</v>
      </c>
      <c r="AI5" s="916">
        <v>117</v>
      </c>
      <c r="AJ5" s="917">
        <v>3354.22</v>
      </c>
      <c r="AK5" s="316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</row>
    <row r="6" spans="1:54" ht="18.95" customHeight="1" thickBot="1">
      <c r="A6" s="315"/>
      <c r="B6" s="946" t="s">
        <v>7</v>
      </c>
      <c r="C6" s="948">
        <v>0</v>
      </c>
      <c r="D6" s="949">
        <v>0</v>
      </c>
      <c r="E6" s="948">
        <v>0</v>
      </c>
      <c r="F6" s="949">
        <v>0</v>
      </c>
      <c r="G6" s="948">
        <v>2</v>
      </c>
      <c r="H6" s="950">
        <v>138.5</v>
      </c>
      <c r="I6" s="948">
        <v>0</v>
      </c>
      <c r="J6" s="949">
        <v>0</v>
      </c>
      <c r="K6" s="948">
        <v>9</v>
      </c>
      <c r="L6" s="949">
        <v>2939.4</v>
      </c>
      <c r="M6" s="948">
        <v>15</v>
      </c>
      <c r="N6" s="949">
        <v>691.33</v>
      </c>
      <c r="O6" s="948">
        <v>0</v>
      </c>
      <c r="P6" s="949">
        <v>0</v>
      </c>
      <c r="Q6" s="948">
        <v>1</v>
      </c>
      <c r="R6" s="949">
        <v>1322</v>
      </c>
      <c r="S6" s="313"/>
      <c r="T6" s="946" t="s">
        <v>7</v>
      </c>
      <c r="U6" s="948">
        <v>0</v>
      </c>
      <c r="V6" s="949">
        <v>0</v>
      </c>
      <c r="W6" s="948">
        <v>0</v>
      </c>
      <c r="X6" s="949">
        <v>0</v>
      </c>
      <c r="Y6" s="948">
        <v>0</v>
      </c>
      <c r="Z6" s="950">
        <v>0</v>
      </c>
      <c r="AA6" s="948">
        <v>0</v>
      </c>
      <c r="AB6" s="949">
        <v>0</v>
      </c>
      <c r="AC6" s="948">
        <v>0</v>
      </c>
      <c r="AD6" s="949">
        <v>0</v>
      </c>
      <c r="AE6" s="948">
        <v>4</v>
      </c>
      <c r="AF6" s="949">
        <v>528.79999999999995</v>
      </c>
      <c r="AG6" s="948">
        <v>0</v>
      </c>
      <c r="AH6" s="949">
        <v>0</v>
      </c>
      <c r="AI6" s="948">
        <v>31</v>
      </c>
      <c r="AJ6" s="949">
        <v>5620.03</v>
      </c>
      <c r="AK6" s="316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</row>
    <row r="7" spans="1:54" ht="18.95" customHeight="1" thickBot="1">
      <c r="A7" s="315"/>
      <c r="B7" s="915" t="s">
        <v>8</v>
      </c>
      <c r="C7" s="916">
        <v>0</v>
      </c>
      <c r="D7" s="917">
        <v>0</v>
      </c>
      <c r="E7" s="916">
        <v>0</v>
      </c>
      <c r="F7" s="917">
        <v>0</v>
      </c>
      <c r="G7" s="916">
        <v>0</v>
      </c>
      <c r="H7" s="918">
        <v>0</v>
      </c>
      <c r="I7" s="916">
        <v>11</v>
      </c>
      <c r="J7" s="917">
        <v>257.5</v>
      </c>
      <c r="K7" s="916">
        <v>0</v>
      </c>
      <c r="L7" s="917">
        <v>0</v>
      </c>
      <c r="M7" s="916">
        <v>10</v>
      </c>
      <c r="N7" s="917">
        <v>798</v>
      </c>
      <c r="O7" s="916">
        <v>0</v>
      </c>
      <c r="P7" s="917">
        <v>0</v>
      </c>
      <c r="Q7" s="916">
        <v>0</v>
      </c>
      <c r="R7" s="917">
        <v>0</v>
      </c>
      <c r="S7" s="313"/>
      <c r="T7" s="915" t="s">
        <v>8</v>
      </c>
      <c r="U7" s="916">
        <v>0</v>
      </c>
      <c r="V7" s="917">
        <v>0</v>
      </c>
      <c r="W7" s="916">
        <v>0</v>
      </c>
      <c r="X7" s="917">
        <v>0</v>
      </c>
      <c r="Y7" s="916">
        <v>0</v>
      </c>
      <c r="Z7" s="918">
        <v>0</v>
      </c>
      <c r="AA7" s="916">
        <v>0</v>
      </c>
      <c r="AB7" s="917">
        <v>0</v>
      </c>
      <c r="AC7" s="916">
        <v>0</v>
      </c>
      <c r="AD7" s="917">
        <v>0</v>
      </c>
      <c r="AE7" s="916">
        <v>0</v>
      </c>
      <c r="AF7" s="917">
        <v>0</v>
      </c>
      <c r="AG7" s="916">
        <v>2</v>
      </c>
      <c r="AH7" s="917">
        <v>7.27</v>
      </c>
      <c r="AI7" s="916">
        <v>23</v>
      </c>
      <c r="AJ7" s="917">
        <v>1062.77</v>
      </c>
      <c r="AK7" s="316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</row>
    <row r="8" spans="1:54" ht="18.95" customHeight="1" thickBot="1">
      <c r="A8" s="315"/>
      <c r="B8" s="946" t="s">
        <v>9</v>
      </c>
      <c r="C8" s="948">
        <v>0</v>
      </c>
      <c r="D8" s="949">
        <v>0</v>
      </c>
      <c r="E8" s="948">
        <v>0</v>
      </c>
      <c r="F8" s="949">
        <v>0</v>
      </c>
      <c r="G8" s="948">
        <v>0</v>
      </c>
      <c r="H8" s="950">
        <v>0</v>
      </c>
      <c r="I8" s="948">
        <v>0</v>
      </c>
      <c r="J8" s="949">
        <v>0</v>
      </c>
      <c r="K8" s="948">
        <v>0</v>
      </c>
      <c r="L8" s="949">
        <v>0</v>
      </c>
      <c r="M8" s="948">
        <v>16</v>
      </c>
      <c r="N8" s="949">
        <v>72.3</v>
      </c>
      <c r="O8" s="948">
        <v>0</v>
      </c>
      <c r="P8" s="949">
        <v>0</v>
      </c>
      <c r="Q8" s="948">
        <v>2</v>
      </c>
      <c r="R8" s="949">
        <v>9</v>
      </c>
      <c r="S8" s="313"/>
      <c r="T8" s="946" t="s">
        <v>9</v>
      </c>
      <c r="U8" s="948">
        <v>0</v>
      </c>
      <c r="V8" s="949">
        <v>0</v>
      </c>
      <c r="W8" s="948">
        <v>2</v>
      </c>
      <c r="X8" s="949">
        <v>8</v>
      </c>
      <c r="Y8" s="948">
        <v>0</v>
      </c>
      <c r="Z8" s="950">
        <v>0</v>
      </c>
      <c r="AA8" s="948">
        <v>0</v>
      </c>
      <c r="AB8" s="949">
        <v>0</v>
      </c>
      <c r="AC8" s="948">
        <v>0</v>
      </c>
      <c r="AD8" s="949">
        <v>0</v>
      </c>
      <c r="AE8" s="948">
        <v>0</v>
      </c>
      <c r="AF8" s="949">
        <v>0</v>
      </c>
      <c r="AG8" s="948">
        <v>1</v>
      </c>
      <c r="AH8" s="949">
        <v>8</v>
      </c>
      <c r="AI8" s="948">
        <v>21</v>
      </c>
      <c r="AJ8" s="949">
        <v>97.3</v>
      </c>
      <c r="AK8" s="316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</row>
    <row r="9" spans="1:54" ht="18.95" customHeight="1" thickBot="1">
      <c r="A9" s="315"/>
      <c r="B9" s="915" t="s">
        <v>12</v>
      </c>
      <c r="C9" s="916">
        <v>0</v>
      </c>
      <c r="D9" s="917">
        <v>0</v>
      </c>
      <c r="E9" s="916">
        <v>1</v>
      </c>
      <c r="F9" s="917">
        <v>22</v>
      </c>
      <c r="G9" s="916">
        <v>3</v>
      </c>
      <c r="H9" s="918">
        <v>685.7</v>
      </c>
      <c r="I9" s="916">
        <v>12</v>
      </c>
      <c r="J9" s="917">
        <v>232.55</v>
      </c>
      <c r="K9" s="916">
        <v>0</v>
      </c>
      <c r="L9" s="917">
        <v>0</v>
      </c>
      <c r="M9" s="916">
        <v>0</v>
      </c>
      <c r="N9" s="917">
        <v>0</v>
      </c>
      <c r="O9" s="916">
        <v>0</v>
      </c>
      <c r="P9" s="917">
        <v>0</v>
      </c>
      <c r="Q9" s="916">
        <v>0</v>
      </c>
      <c r="R9" s="917">
        <v>0</v>
      </c>
      <c r="S9" s="313"/>
      <c r="T9" s="915" t="s">
        <v>12</v>
      </c>
      <c r="U9" s="916">
        <v>0</v>
      </c>
      <c r="V9" s="917">
        <v>0</v>
      </c>
      <c r="W9" s="916">
        <v>0</v>
      </c>
      <c r="X9" s="917">
        <v>0</v>
      </c>
      <c r="Y9" s="916">
        <v>6</v>
      </c>
      <c r="Z9" s="918">
        <v>11.67</v>
      </c>
      <c r="AA9" s="916">
        <v>1</v>
      </c>
      <c r="AB9" s="917">
        <v>1</v>
      </c>
      <c r="AC9" s="916">
        <v>2</v>
      </c>
      <c r="AD9" s="917">
        <v>7.8</v>
      </c>
      <c r="AE9" s="916">
        <v>0</v>
      </c>
      <c r="AF9" s="917">
        <v>0</v>
      </c>
      <c r="AG9" s="916">
        <v>3</v>
      </c>
      <c r="AH9" s="917">
        <v>8.6900000000000013</v>
      </c>
      <c r="AI9" s="916">
        <v>28</v>
      </c>
      <c r="AJ9" s="917">
        <v>969.41</v>
      </c>
      <c r="AK9" s="316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</row>
    <row r="10" spans="1:54" ht="18.95" customHeight="1" thickBot="1">
      <c r="A10" s="315"/>
      <c r="B10" s="946" t="s">
        <v>13</v>
      </c>
      <c r="C10" s="948">
        <v>0</v>
      </c>
      <c r="D10" s="949">
        <v>0</v>
      </c>
      <c r="E10" s="948">
        <v>0</v>
      </c>
      <c r="F10" s="949">
        <v>0</v>
      </c>
      <c r="G10" s="948">
        <v>0</v>
      </c>
      <c r="H10" s="950">
        <v>0</v>
      </c>
      <c r="I10" s="948">
        <v>106</v>
      </c>
      <c r="J10" s="949">
        <v>995.55</v>
      </c>
      <c r="K10" s="948">
        <v>0</v>
      </c>
      <c r="L10" s="949">
        <v>0</v>
      </c>
      <c r="M10" s="948">
        <v>7</v>
      </c>
      <c r="N10" s="949">
        <v>2298</v>
      </c>
      <c r="O10" s="948">
        <v>5</v>
      </c>
      <c r="P10" s="949">
        <v>8.3000000000000007</v>
      </c>
      <c r="Q10" s="948">
        <v>2</v>
      </c>
      <c r="R10" s="949">
        <v>2500</v>
      </c>
      <c r="S10" s="313"/>
      <c r="T10" s="946" t="s">
        <v>13</v>
      </c>
      <c r="U10" s="948">
        <v>0</v>
      </c>
      <c r="V10" s="949">
        <v>0</v>
      </c>
      <c r="W10" s="948">
        <v>0</v>
      </c>
      <c r="X10" s="949">
        <v>0</v>
      </c>
      <c r="Y10" s="948">
        <v>0</v>
      </c>
      <c r="Z10" s="950">
        <v>0</v>
      </c>
      <c r="AA10" s="948">
        <v>0</v>
      </c>
      <c r="AB10" s="949">
        <v>0</v>
      </c>
      <c r="AC10" s="948">
        <v>19</v>
      </c>
      <c r="AD10" s="949">
        <v>25.4</v>
      </c>
      <c r="AE10" s="948">
        <v>0</v>
      </c>
      <c r="AF10" s="949">
        <v>0</v>
      </c>
      <c r="AG10" s="948">
        <v>1</v>
      </c>
      <c r="AH10" s="949">
        <v>110</v>
      </c>
      <c r="AI10" s="948">
        <v>140</v>
      </c>
      <c r="AJ10" s="949">
        <v>5937.25</v>
      </c>
      <c r="AK10" s="316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</row>
    <row r="11" spans="1:54" ht="18.95" customHeight="1" thickBot="1">
      <c r="A11" s="315"/>
      <c r="B11" s="915" t="s">
        <v>223</v>
      </c>
      <c r="C11" s="916">
        <v>0</v>
      </c>
      <c r="D11" s="917">
        <v>0</v>
      </c>
      <c r="E11" s="916">
        <v>0</v>
      </c>
      <c r="F11" s="917">
        <v>0</v>
      </c>
      <c r="G11" s="916">
        <v>0</v>
      </c>
      <c r="H11" s="918">
        <v>0</v>
      </c>
      <c r="I11" s="916">
        <v>6</v>
      </c>
      <c r="J11" s="917">
        <v>1460</v>
      </c>
      <c r="K11" s="916">
        <v>0</v>
      </c>
      <c r="L11" s="917">
        <v>0</v>
      </c>
      <c r="M11" s="916">
        <v>14</v>
      </c>
      <c r="N11" s="917">
        <v>2135</v>
      </c>
      <c r="O11" s="916">
        <v>0</v>
      </c>
      <c r="P11" s="917">
        <v>0</v>
      </c>
      <c r="Q11" s="916">
        <v>0</v>
      </c>
      <c r="R11" s="917">
        <v>0</v>
      </c>
      <c r="S11" s="313"/>
      <c r="T11" s="915" t="s">
        <v>223</v>
      </c>
      <c r="U11" s="916">
        <v>0</v>
      </c>
      <c r="V11" s="917">
        <v>0</v>
      </c>
      <c r="W11" s="916">
        <v>0</v>
      </c>
      <c r="X11" s="917">
        <v>0</v>
      </c>
      <c r="Y11" s="916">
        <v>0</v>
      </c>
      <c r="Z11" s="918">
        <v>0</v>
      </c>
      <c r="AA11" s="916">
        <v>1</v>
      </c>
      <c r="AB11" s="917">
        <v>1</v>
      </c>
      <c r="AC11" s="916">
        <v>0</v>
      </c>
      <c r="AD11" s="917">
        <v>0</v>
      </c>
      <c r="AE11" s="916">
        <v>2</v>
      </c>
      <c r="AF11" s="917">
        <v>430</v>
      </c>
      <c r="AG11" s="916">
        <v>0</v>
      </c>
      <c r="AH11" s="917">
        <v>0</v>
      </c>
      <c r="AI11" s="916">
        <v>23</v>
      </c>
      <c r="AJ11" s="917">
        <v>4026</v>
      </c>
      <c r="AK11" s="316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</row>
    <row r="12" spans="1:54" ht="18.95" customHeight="1" thickBot="1">
      <c r="A12" s="315"/>
      <c r="B12" s="946" t="s">
        <v>11</v>
      </c>
      <c r="C12" s="948">
        <v>0</v>
      </c>
      <c r="D12" s="949">
        <v>0</v>
      </c>
      <c r="E12" s="948">
        <v>0</v>
      </c>
      <c r="F12" s="949">
        <v>0</v>
      </c>
      <c r="G12" s="948">
        <v>45</v>
      </c>
      <c r="H12" s="950">
        <v>112.10000000000001</v>
      </c>
      <c r="I12" s="948">
        <v>13</v>
      </c>
      <c r="J12" s="949">
        <v>77.599999999999994</v>
      </c>
      <c r="K12" s="948">
        <v>0</v>
      </c>
      <c r="L12" s="949">
        <v>0</v>
      </c>
      <c r="M12" s="948">
        <v>8</v>
      </c>
      <c r="N12" s="949">
        <v>942.3</v>
      </c>
      <c r="O12" s="948">
        <v>0</v>
      </c>
      <c r="P12" s="949">
        <v>0</v>
      </c>
      <c r="Q12" s="948">
        <v>0</v>
      </c>
      <c r="R12" s="949">
        <v>0</v>
      </c>
      <c r="S12" s="313"/>
      <c r="T12" s="946" t="s">
        <v>11</v>
      </c>
      <c r="U12" s="948">
        <v>0</v>
      </c>
      <c r="V12" s="949">
        <v>0</v>
      </c>
      <c r="W12" s="948">
        <v>0</v>
      </c>
      <c r="X12" s="949">
        <v>0</v>
      </c>
      <c r="Y12" s="948">
        <v>1</v>
      </c>
      <c r="Z12" s="950">
        <v>4.2</v>
      </c>
      <c r="AA12" s="948">
        <v>1</v>
      </c>
      <c r="AB12" s="949">
        <v>1</v>
      </c>
      <c r="AC12" s="948">
        <v>1</v>
      </c>
      <c r="AD12" s="949">
        <v>8.6999999999999993</v>
      </c>
      <c r="AE12" s="948">
        <v>0</v>
      </c>
      <c r="AF12" s="949">
        <v>0</v>
      </c>
      <c r="AG12" s="948">
        <v>0</v>
      </c>
      <c r="AH12" s="949">
        <v>0</v>
      </c>
      <c r="AI12" s="948">
        <v>69</v>
      </c>
      <c r="AJ12" s="949">
        <v>1145.9000000000001</v>
      </c>
      <c r="AK12" s="316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</row>
    <row r="13" spans="1:54" ht="18.95" customHeight="1" thickBot="1">
      <c r="A13" s="315"/>
      <c r="B13" s="915" t="s">
        <v>14</v>
      </c>
      <c r="C13" s="916">
        <v>0</v>
      </c>
      <c r="D13" s="917">
        <v>0</v>
      </c>
      <c r="E13" s="916">
        <v>0</v>
      </c>
      <c r="F13" s="917">
        <v>0</v>
      </c>
      <c r="G13" s="916">
        <v>0</v>
      </c>
      <c r="H13" s="918">
        <v>0</v>
      </c>
      <c r="I13" s="916">
        <v>0</v>
      </c>
      <c r="J13" s="917">
        <v>0</v>
      </c>
      <c r="K13" s="916">
        <v>0</v>
      </c>
      <c r="L13" s="917">
        <v>0</v>
      </c>
      <c r="M13" s="916">
        <v>26</v>
      </c>
      <c r="N13" s="917">
        <v>3283.8</v>
      </c>
      <c r="O13" s="916">
        <v>0</v>
      </c>
      <c r="P13" s="917">
        <v>0</v>
      </c>
      <c r="Q13" s="916">
        <v>1</v>
      </c>
      <c r="R13" s="917">
        <v>30</v>
      </c>
      <c r="S13" s="313"/>
      <c r="T13" s="915" t="s">
        <v>14</v>
      </c>
      <c r="U13" s="916">
        <v>0</v>
      </c>
      <c r="V13" s="917">
        <v>0</v>
      </c>
      <c r="W13" s="916">
        <v>0</v>
      </c>
      <c r="X13" s="917">
        <v>0</v>
      </c>
      <c r="Y13" s="916">
        <v>0</v>
      </c>
      <c r="Z13" s="918">
        <v>0</v>
      </c>
      <c r="AA13" s="916">
        <v>0</v>
      </c>
      <c r="AB13" s="917">
        <v>0</v>
      </c>
      <c r="AC13" s="916">
        <v>0</v>
      </c>
      <c r="AD13" s="917">
        <v>0</v>
      </c>
      <c r="AE13" s="916">
        <v>0</v>
      </c>
      <c r="AF13" s="917">
        <v>0</v>
      </c>
      <c r="AG13" s="916">
        <v>1</v>
      </c>
      <c r="AH13" s="917">
        <v>16</v>
      </c>
      <c r="AI13" s="916">
        <v>28</v>
      </c>
      <c r="AJ13" s="917">
        <v>3329.8</v>
      </c>
      <c r="AK13" s="316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</row>
    <row r="14" spans="1:54" ht="18.95" customHeight="1" thickBot="1">
      <c r="A14" s="315"/>
      <c r="B14" s="946" t="s">
        <v>15</v>
      </c>
      <c r="C14" s="948">
        <v>0</v>
      </c>
      <c r="D14" s="949">
        <v>0</v>
      </c>
      <c r="E14" s="948">
        <v>0</v>
      </c>
      <c r="F14" s="949">
        <v>0</v>
      </c>
      <c r="G14" s="948">
        <v>0</v>
      </c>
      <c r="H14" s="950">
        <v>0</v>
      </c>
      <c r="I14" s="948">
        <v>164</v>
      </c>
      <c r="J14" s="949">
        <v>915.49</v>
      </c>
      <c r="K14" s="948">
        <v>1</v>
      </c>
      <c r="L14" s="949">
        <v>1680</v>
      </c>
      <c r="M14" s="948">
        <v>8</v>
      </c>
      <c r="N14" s="949">
        <v>432.57</v>
      </c>
      <c r="O14" s="948">
        <v>0</v>
      </c>
      <c r="P14" s="949">
        <v>0</v>
      </c>
      <c r="Q14" s="948">
        <v>0</v>
      </c>
      <c r="R14" s="949">
        <v>0</v>
      </c>
      <c r="S14" s="313"/>
      <c r="T14" s="946" t="s">
        <v>15</v>
      </c>
      <c r="U14" s="948">
        <v>0</v>
      </c>
      <c r="V14" s="949">
        <v>0</v>
      </c>
      <c r="W14" s="948">
        <v>0</v>
      </c>
      <c r="X14" s="949">
        <v>0</v>
      </c>
      <c r="Y14" s="948">
        <v>0</v>
      </c>
      <c r="Z14" s="950">
        <v>0</v>
      </c>
      <c r="AA14" s="948">
        <v>0</v>
      </c>
      <c r="AB14" s="949">
        <v>0</v>
      </c>
      <c r="AC14" s="948">
        <v>0</v>
      </c>
      <c r="AD14" s="949">
        <v>0</v>
      </c>
      <c r="AE14" s="948">
        <v>0</v>
      </c>
      <c r="AF14" s="949">
        <v>0</v>
      </c>
      <c r="AG14" s="948">
        <v>1</v>
      </c>
      <c r="AH14" s="949">
        <v>180</v>
      </c>
      <c r="AI14" s="948">
        <v>174</v>
      </c>
      <c r="AJ14" s="949">
        <v>3208.06</v>
      </c>
      <c r="AK14" s="316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</row>
    <row r="15" spans="1:54" ht="18.95" customHeight="1" thickBot="1">
      <c r="A15" s="315"/>
      <c r="B15" s="915" t="s">
        <v>16</v>
      </c>
      <c r="C15" s="916">
        <v>0</v>
      </c>
      <c r="D15" s="917">
        <v>0</v>
      </c>
      <c r="E15" s="916">
        <v>0</v>
      </c>
      <c r="F15" s="917">
        <v>0</v>
      </c>
      <c r="G15" s="916">
        <v>2</v>
      </c>
      <c r="H15" s="918">
        <v>314</v>
      </c>
      <c r="I15" s="916">
        <v>5</v>
      </c>
      <c r="J15" s="917">
        <v>736.82</v>
      </c>
      <c r="K15" s="916">
        <v>1</v>
      </c>
      <c r="L15" s="917">
        <v>5</v>
      </c>
      <c r="M15" s="916">
        <v>23</v>
      </c>
      <c r="N15" s="917">
        <v>1426</v>
      </c>
      <c r="O15" s="916">
        <v>9</v>
      </c>
      <c r="P15" s="917">
        <v>1538.06</v>
      </c>
      <c r="Q15" s="916">
        <v>2</v>
      </c>
      <c r="R15" s="917">
        <v>165</v>
      </c>
      <c r="S15" s="313"/>
      <c r="T15" s="915" t="s">
        <v>16</v>
      </c>
      <c r="U15" s="916">
        <v>17</v>
      </c>
      <c r="V15" s="917">
        <v>90.73</v>
      </c>
      <c r="W15" s="916">
        <v>0</v>
      </c>
      <c r="X15" s="917">
        <v>0</v>
      </c>
      <c r="Y15" s="916">
        <v>0</v>
      </c>
      <c r="Z15" s="918">
        <v>0</v>
      </c>
      <c r="AA15" s="916">
        <v>0</v>
      </c>
      <c r="AB15" s="917">
        <v>0</v>
      </c>
      <c r="AC15" s="916">
        <v>0</v>
      </c>
      <c r="AD15" s="917">
        <v>0</v>
      </c>
      <c r="AE15" s="916">
        <v>1</v>
      </c>
      <c r="AF15" s="917">
        <v>140</v>
      </c>
      <c r="AG15" s="916">
        <v>0</v>
      </c>
      <c r="AH15" s="917">
        <v>0</v>
      </c>
      <c r="AI15" s="916">
        <v>60</v>
      </c>
      <c r="AJ15" s="917">
        <v>4415.6099999999997</v>
      </c>
      <c r="AK15" s="316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</row>
    <row r="16" spans="1:54" ht="18.95" customHeight="1" thickBot="1">
      <c r="A16" s="315"/>
      <c r="B16" s="946" t="s">
        <v>17</v>
      </c>
      <c r="C16" s="948">
        <v>0</v>
      </c>
      <c r="D16" s="949">
        <v>0</v>
      </c>
      <c r="E16" s="948">
        <v>0</v>
      </c>
      <c r="F16" s="949">
        <v>0</v>
      </c>
      <c r="G16" s="948">
        <v>0</v>
      </c>
      <c r="H16" s="950">
        <v>0</v>
      </c>
      <c r="I16" s="948">
        <v>10</v>
      </c>
      <c r="J16" s="949">
        <v>85.7</v>
      </c>
      <c r="K16" s="948">
        <v>1</v>
      </c>
      <c r="L16" s="949">
        <v>9</v>
      </c>
      <c r="M16" s="948">
        <v>33</v>
      </c>
      <c r="N16" s="949">
        <v>1241.03</v>
      </c>
      <c r="O16" s="948">
        <v>0</v>
      </c>
      <c r="P16" s="949">
        <v>0</v>
      </c>
      <c r="Q16" s="948">
        <v>1</v>
      </c>
      <c r="R16" s="949">
        <v>1350</v>
      </c>
      <c r="S16" s="313"/>
      <c r="T16" s="946" t="s">
        <v>17</v>
      </c>
      <c r="U16" s="948">
        <v>0</v>
      </c>
      <c r="V16" s="949">
        <v>0</v>
      </c>
      <c r="W16" s="948">
        <v>0</v>
      </c>
      <c r="X16" s="949">
        <v>0</v>
      </c>
      <c r="Y16" s="948">
        <v>1</v>
      </c>
      <c r="Z16" s="950">
        <v>3</v>
      </c>
      <c r="AA16" s="948">
        <v>0</v>
      </c>
      <c r="AB16" s="949">
        <v>0</v>
      </c>
      <c r="AC16" s="948">
        <v>0</v>
      </c>
      <c r="AD16" s="949">
        <v>0</v>
      </c>
      <c r="AE16" s="948">
        <v>1</v>
      </c>
      <c r="AF16" s="949">
        <v>5.77</v>
      </c>
      <c r="AG16" s="948">
        <v>0</v>
      </c>
      <c r="AH16" s="949">
        <v>0</v>
      </c>
      <c r="AI16" s="948">
        <v>47</v>
      </c>
      <c r="AJ16" s="949">
        <v>2694.5</v>
      </c>
      <c r="AK16" s="316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</row>
    <row r="17" spans="1:54" ht="18.95" customHeight="1" thickBot="1">
      <c r="A17" s="315"/>
      <c r="B17" s="915" t="s">
        <v>18</v>
      </c>
      <c r="C17" s="916">
        <v>0</v>
      </c>
      <c r="D17" s="917">
        <v>0</v>
      </c>
      <c r="E17" s="916">
        <v>0</v>
      </c>
      <c r="F17" s="917">
        <v>0</v>
      </c>
      <c r="G17" s="916">
        <v>0</v>
      </c>
      <c r="H17" s="918">
        <v>0</v>
      </c>
      <c r="I17" s="916">
        <v>1</v>
      </c>
      <c r="J17" s="917">
        <v>10</v>
      </c>
      <c r="K17" s="916">
        <v>0</v>
      </c>
      <c r="L17" s="917">
        <v>0</v>
      </c>
      <c r="M17" s="916">
        <v>4</v>
      </c>
      <c r="N17" s="917">
        <v>245</v>
      </c>
      <c r="O17" s="916">
        <v>0</v>
      </c>
      <c r="P17" s="917">
        <v>0</v>
      </c>
      <c r="Q17" s="916">
        <v>0</v>
      </c>
      <c r="R17" s="917">
        <v>0</v>
      </c>
      <c r="S17" s="313"/>
      <c r="T17" s="915" t="s">
        <v>18</v>
      </c>
      <c r="U17" s="916">
        <v>0</v>
      </c>
      <c r="V17" s="917">
        <v>0</v>
      </c>
      <c r="W17" s="916">
        <v>0</v>
      </c>
      <c r="X17" s="917">
        <v>0</v>
      </c>
      <c r="Y17" s="916">
        <v>1</v>
      </c>
      <c r="Z17" s="918">
        <v>3.7</v>
      </c>
      <c r="AA17" s="916">
        <v>1</v>
      </c>
      <c r="AB17" s="917">
        <v>2.5</v>
      </c>
      <c r="AC17" s="916">
        <v>0</v>
      </c>
      <c r="AD17" s="917">
        <v>0</v>
      </c>
      <c r="AE17" s="916">
        <v>0</v>
      </c>
      <c r="AF17" s="917">
        <v>0</v>
      </c>
      <c r="AG17" s="916">
        <v>5</v>
      </c>
      <c r="AH17" s="917">
        <v>28</v>
      </c>
      <c r="AI17" s="916">
        <v>12</v>
      </c>
      <c r="AJ17" s="917">
        <v>289.2</v>
      </c>
      <c r="AK17" s="316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</row>
    <row r="18" spans="1:54" ht="18.95" customHeight="1" thickBot="1">
      <c r="A18" s="315"/>
      <c r="B18" s="946" t="s">
        <v>19</v>
      </c>
      <c r="C18" s="948">
        <v>1</v>
      </c>
      <c r="D18" s="949">
        <v>0.5</v>
      </c>
      <c r="E18" s="948">
        <v>1</v>
      </c>
      <c r="F18" s="949">
        <v>44</v>
      </c>
      <c r="G18" s="948">
        <v>5</v>
      </c>
      <c r="H18" s="950">
        <v>435</v>
      </c>
      <c r="I18" s="948">
        <v>13</v>
      </c>
      <c r="J18" s="949">
        <v>135.5</v>
      </c>
      <c r="K18" s="948">
        <v>1</v>
      </c>
      <c r="L18" s="949">
        <v>25</v>
      </c>
      <c r="M18" s="948">
        <v>60</v>
      </c>
      <c r="N18" s="949">
        <v>1793.3</v>
      </c>
      <c r="O18" s="948">
        <v>0</v>
      </c>
      <c r="P18" s="949">
        <v>0</v>
      </c>
      <c r="Q18" s="948">
        <v>1</v>
      </c>
      <c r="R18" s="949">
        <v>5</v>
      </c>
      <c r="S18" s="313"/>
      <c r="T18" s="946" t="s">
        <v>19</v>
      </c>
      <c r="U18" s="948">
        <v>11</v>
      </c>
      <c r="V18" s="949">
        <v>31.5</v>
      </c>
      <c r="W18" s="948">
        <v>0</v>
      </c>
      <c r="X18" s="949">
        <v>0</v>
      </c>
      <c r="Y18" s="948">
        <v>0</v>
      </c>
      <c r="Z18" s="950">
        <v>0</v>
      </c>
      <c r="AA18" s="948">
        <v>4</v>
      </c>
      <c r="AB18" s="949">
        <v>6</v>
      </c>
      <c r="AC18" s="948">
        <v>2</v>
      </c>
      <c r="AD18" s="949">
        <v>5</v>
      </c>
      <c r="AE18" s="948">
        <v>8</v>
      </c>
      <c r="AF18" s="949">
        <v>1001</v>
      </c>
      <c r="AG18" s="948">
        <v>15</v>
      </c>
      <c r="AH18" s="949">
        <v>48.5</v>
      </c>
      <c r="AI18" s="948">
        <v>122</v>
      </c>
      <c r="AJ18" s="949">
        <v>3530.3</v>
      </c>
      <c r="AK18" s="316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</row>
    <row r="19" spans="1:54" ht="18.95" customHeight="1" thickBot="1">
      <c r="A19" s="315"/>
      <c r="B19" s="915" t="s">
        <v>20</v>
      </c>
      <c r="C19" s="916">
        <v>0</v>
      </c>
      <c r="D19" s="917">
        <v>0</v>
      </c>
      <c r="E19" s="916">
        <v>1</v>
      </c>
      <c r="F19" s="917">
        <v>1200</v>
      </c>
      <c r="G19" s="916">
        <v>1</v>
      </c>
      <c r="H19" s="918">
        <v>5</v>
      </c>
      <c r="I19" s="916">
        <v>17</v>
      </c>
      <c r="J19" s="917">
        <v>552</v>
      </c>
      <c r="K19" s="916">
        <v>0</v>
      </c>
      <c r="L19" s="917">
        <v>0</v>
      </c>
      <c r="M19" s="916">
        <v>37</v>
      </c>
      <c r="N19" s="917">
        <v>3141</v>
      </c>
      <c r="O19" s="916">
        <v>0</v>
      </c>
      <c r="P19" s="917">
        <v>0</v>
      </c>
      <c r="Q19" s="916">
        <v>0</v>
      </c>
      <c r="R19" s="917">
        <v>0</v>
      </c>
      <c r="S19" s="313"/>
      <c r="T19" s="915" t="s">
        <v>20</v>
      </c>
      <c r="U19" s="916">
        <v>5</v>
      </c>
      <c r="V19" s="917">
        <v>15.8</v>
      </c>
      <c r="W19" s="916">
        <v>2</v>
      </c>
      <c r="X19" s="917">
        <v>3.5</v>
      </c>
      <c r="Y19" s="916">
        <v>1</v>
      </c>
      <c r="Z19" s="918">
        <v>12</v>
      </c>
      <c r="AA19" s="916">
        <v>3</v>
      </c>
      <c r="AB19" s="917">
        <v>5.3</v>
      </c>
      <c r="AC19" s="916">
        <v>2</v>
      </c>
      <c r="AD19" s="917">
        <v>5.7</v>
      </c>
      <c r="AE19" s="916">
        <v>2</v>
      </c>
      <c r="AF19" s="917">
        <v>177</v>
      </c>
      <c r="AG19" s="916">
        <v>7</v>
      </c>
      <c r="AH19" s="917">
        <v>73</v>
      </c>
      <c r="AI19" s="916">
        <v>78</v>
      </c>
      <c r="AJ19" s="917">
        <v>5190.3</v>
      </c>
      <c r="AK19" s="316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</row>
    <row r="20" spans="1:54" ht="18.95" customHeight="1" thickBot="1">
      <c r="A20" s="315"/>
      <c r="B20" s="946" t="s">
        <v>224</v>
      </c>
      <c r="C20" s="948">
        <v>0</v>
      </c>
      <c r="D20" s="949">
        <v>0</v>
      </c>
      <c r="E20" s="948">
        <v>0</v>
      </c>
      <c r="F20" s="949">
        <v>0</v>
      </c>
      <c r="G20" s="948">
        <v>1</v>
      </c>
      <c r="H20" s="950">
        <v>5</v>
      </c>
      <c r="I20" s="948">
        <v>6</v>
      </c>
      <c r="J20" s="949">
        <v>503</v>
      </c>
      <c r="K20" s="948">
        <v>1</v>
      </c>
      <c r="L20" s="949">
        <v>190</v>
      </c>
      <c r="M20" s="948">
        <v>9</v>
      </c>
      <c r="N20" s="949">
        <v>2011</v>
      </c>
      <c r="O20" s="948">
        <v>0</v>
      </c>
      <c r="P20" s="949">
        <v>0</v>
      </c>
      <c r="Q20" s="948">
        <v>0</v>
      </c>
      <c r="R20" s="949">
        <v>0</v>
      </c>
      <c r="S20" s="313"/>
      <c r="T20" s="946" t="s">
        <v>224</v>
      </c>
      <c r="U20" s="948">
        <v>3</v>
      </c>
      <c r="V20" s="949">
        <v>54</v>
      </c>
      <c r="W20" s="948">
        <v>0</v>
      </c>
      <c r="X20" s="949">
        <v>0</v>
      </c>
      <c r="Y20" s="948">
        <v>0</v>
      </c>
      <c r="Z20" s="950">
        <v>0</v>
      </c>
      <c r="AA20" s="948">
        <v>0</v>
      </c>
      <c r="AB20" s="949">
        <v>0</v>
      </c>
      <c r="AC20" s="948">
        <v>4</v>
      </c>
      <c r="AD20" s="949">
        <v>15.1</v>
      </c>
      <c r="AE20" s="948">
        <v>1</v>
      </c>
      <c r="AF20" s="949">
        <v>15</v>
      </c>
      <c r="AG20" s="948">
        <v>0</v>
      </c>
      <c r="AH20" s="949">
        <v>0</v>
      </c>
      <c r="AI20" s="948">
        <v>25</v>
      </c>
      <c r="AJ20" s="949">
        <v>2793.1</v>
      </c>
      <c r="AK20" s="316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</row>
    <row r="21" spans="1:54" ht="18.95" customHeight="1" thickBot="1">
      <c r="A21" s="315"/>
      <c r="B21" s="915" t="s">
        <v>22</v>
      </c>
      <c r="C21" s="916">
        <v>4</v>
      </c>
      <c r="D21" s="917">
        <v>272</v>
      </c>
      <c r="E21" s="916">
        <v>0</v>
      </c>
      <c r="F21" s="917">
        <v>0</v>
      </c>
      <c r="G21" s="916">
        <v>5</v>
      </c>
      <c r="H21" s="918">
        <v>654.70000000000005</v>
      </c>
      <c r="I21" s="916">
        <v>0</v>
      </c>
      <c r="J21" s="917">
        <v>0</v>
      </c>
      <c r="K21" s="916">
        <v>0</v>
      </c>
      <c r="L21" s="917">
        <v>0</v>
      </c>
      <c r="M21" s="916">
        <v>21</v>
      </c>
      <c r="N21" s="917">
        <v>403.4</v>
      </c>
      <c r="O21" s="916">
        <v>0</v>
      </c>
      <c r="P21" s="917">
        <v>0</v>
      </c>
      <c r="Q21" s="916">
        <v>0</v>
      </c>
      <c r="R21" s="917">
        <v>0</v>
      </c>
      <c r="S21" s="313"/>
      <c r="T21" s="915" t="s">
        <v>22</v>
      </c>
      <c r="U21" s="916">
        <v>1</v>
      </c>
      <c r="V21" s="917">
        <v>1</v>
      </c>
      <c r="W21" s="916">
        <v>0</v>
      </c>
      <c r="X21" s="917">
        <v>0</v>
      </c>
      <c r="Y21" s="916">
        <v>2</v>
      </c>
      <c r="Z21" s="918">
        <v>19</v>
      </c>
      <c r="AA21" s="916">
        <v>1</v>
      </c>
      <c r="AB21" s="917">
        <v>4</v>
      </c>
      <c r="AC21" s="916">
        <v>0</v>
      </c>
      <c r="AD21" s="917">
        <v>0</v>
      </c>
      <c r="AE21" s="916">
        <v>0</v>
      </c>
      <c r="AF21" s="917">
        <v>0</v>
      </c>
      <c r="AG21" s="916">
        <v>4</v>
      </c>
      <c r="AH21" s="917">
        <v>12</v>
      </c>
      <c r="AI21" s="916">
        <v>38</v>
      </c>
      <c r="AJ21" s="917">
        <v>1366.1</v>
      </c>
      <c r="AK21" s="316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</row>
    <row r="22" spans="1:54" ht="18.95" customHeight="1" thickBot="1">
      <c r="A22" s="315"/>
      <c r="B22" s="946" t="s">
        <v>23</v>
      </c>
      <c r="C22" s="948">
        <v>0</v>
      </c>
      <c r="D22" s="949">
        <v>0</v>
      </c>
      <c r="E22" s="948">
        <v>0</v>
      </c>
      <c r="F22" s="949">
        <v>0</v>
      </c>
      <c r="G22" s="948">
        <v>1</v>
      </c>
      <c r="H22" s="950">
        <v>700</v>
      </c>
      <c r="I22" s="948">
        <v>41</v>
      </c>
      <c r="J22" s="949">
        <v>373.1</v>
      </c>
      <c r="K22" s="948">
        <v>2</v>
      </c>
      <c r="L22" s="949">
        <v>90</v>
      </c>
      <c r="M22" s="948">
        <v>13</v>
      </c>
      <c r="N22" s="949">
        <v>213.5</v>
      </c>
      <c r="O22" s="948">
        <v>0</v>
      </c>
      <c r="P22" s="949">
        <v>0</v>
      </c>
      <c r="Q22" s="948">
        <v>0</v>
      </c>
      <c r="R22" s="949">
        <v>0</v>
      </c>
      <c r="S22" s="313"/>
      <c r="T22" s="946" t="s">
        <v>23</v>
      </c>
      <c r="U22" s="948">
        <v>1</v>
      </c>
      <c r="V22" s="949">
        <v>1</v>
      </c>
      <c r="W22" s="948">
        <v>0</v>
      </c>
      <c r="X22" s="949">
        <v>0</v>
      </c>
      <c r="Y22" s="948">
        <v>0</v>
      </c>
      <c r="Z22" s="950">
        <v>0</v>
      </c>
      <c r="AA22" s="948">
        <v>1</v>
      </c>
      <c r="AB22" s="949">
        <v>0.8</v>
      </c>
      <c r="AC22" s="948">
        <v>3</v>
      </c>
      <c r="AD22" s="949">
        <v>5</v>
      </c>
      <c r="AE22" s="948">
        <v>0</v>
      </c>
      <c r="AF22" s="949">
        <v>0</v>
      </c>
      <c r="AG22" s="948">
        <v>1</v>
      </c>
      <c r="AH22" s="949">
        <v>45</v>
      </c>
      <c r="AI22" s="948">
        <v>63</v>
      </c>
      <c r="AJ22" s="949">
        <v>1428.3999999999999</v>
      </c>
      <c r="AK22" s="316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</row>
    <row r="23" spans="1:54" ht="18.95" customHeight="1" thickBot="1">
      <c r="A23" s="315"/>
      <c r="B23" s="915" t="s">
        <v>24</v>
      </c>
      <c r="C23" s="916">
        <v>0</v>
      </c>
      <c r="D23" s="917">
        <v>0</v>
      </c>
      <c r="E23" s="916">
        <v>0</v>
      </c>
      <c r="F23" s="917">
        <v>0</v>
      </c>
      <c r="G23" s="916">
        <v>0</v>
      </c>
      <c r="H23" s="918">
        <v>0</v>
      </c>
      <c r="I23" s="916">
        <v>19</v>
      </c>
      <c r="J23" s="917">
        <v>198.34</v>
      </c>
      <c r="K23" s="916">
        <v>1</v>
      </c>
      <c r="L23" s="917">
        <v>6.23</v>
      </c>
      <c r="M23" s="916">
        <v>37</v>
      </c>
      <c r="N23" s="917">
        <v>10639.48</v>
      </c>
      <c r="O23" s="916">
        <v>0</v>
      </c>
      <c r="P23" s="917">
        <v>0</v>
      </c>
      <c r="Q23" s="916">
        <v>0</v>
      </c>
      <c r="R23" s="917">
        <v>0</v>
      </c>
      <c r="S23" s="313"/>
      <c r="T23" s="915" t="s">
        <v>24</v>
      </c>
      <c r="U23" s="916">
        <v>1</v>
      </c>
      <c r="V23" s="917">
        <v>2.9</v>
      </c>
      <c r="W23" s="916">
        <v>0</v>
      </c>
      <c r="X23" s="917">
        <v>0</v>
      </c>
      <c r="Y23" s="916">
        <v>1</v>
      </c>
      <c r="Z23" s="918">
        <v>5.2</v>
      </c>
      <c r="AA23" s="916">
        <v>0</v>
      </c>
      <c r="AB23" s="917">
        <v>0</v>
      </c>
      <c r="AC23" s="916">
        <v>0</v>
      </c>
      <c r="AD23" s="917">
        <v>0</v>
      </c>
      <c r="AE23" s="916">
        <v>2</v>
      </c>
      <c r="AF23" s="917">
        <v>25</v>
      </c>
      <c r="AG23" s="916">
        <v>0</v>
      </c>
      <c r="AH23" s="917">
        <v>0</v>
      </c>
      <c r="AI23" s="916">
        <v>61</v>
      </c>
      <c r="AJ23" s="917">
        <v>10877.15</v>
      </c>
      <c r="AK23" s="316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</row>
    <row r="24" spans="1:54" ht="18.95" customHeight="1" thickBot="1">
      <c r="A24" s="315"/>
      <c r="B24" s="946" t="s">
        <v>25</v>
      </c>
      <c r="C24" s="948">
        <v>0</v>
      </c>
      <c r="D24" s="949">
        <v>0</v>
      </c>
      <c r="E24" s="948">
        <v>0</v>
      </c>
      <c r="F24" s="949">
        <v>0</v>
      </c>
      <c r="G24" s="948">
        <v>1</v>
      </c>
      <c r="H24" s="950">
        <v>75</v>
      </c>
      <c r="I24" s="948">
        <v>6</v>
      </c>
      <c r="J24" s="949">
        <v>39</v>
      </c>
      <c r="K24" s="948">
        <v>0</v>
      </c>
      <c r="L24" s="949">
        <v>0</v>
      </c>
      <c r="M24" s="948">
        <v>13</v>
      </c>
      <c r="N24" s="949">
        <v>696.8</v>
      </c>
      <c r="O24" s="948">
        <v>0</v>
      </c>
      <c r="P24" s="949">
        <v>0</v>
      </c>
      <c r="Q24" s="948">
        <v>0</v>
      </c>
      <c r="R24" s="949">
        <v>0</v>
      </c>
      <c r="S24" s="313"/>
      <c r="T24" s="946" t="s">
        <v>25</v>
      </c>
      <c r="U24" s="948">
        <v>0</v>
      </c>
      <c r="V24" s="949">
        <v>0</v>
      </c>
      <c r="W24" s="948">
        <v>1</v>
      </c>
      <c r="X24" s="949">
        <v>3</v>
      </c>
      <c r="Y24" s="948">
        <v>1</v>
      </c>
      <c r="Z24" s="950">
        <v>15</v>
      </c>
      <c r="AA24" s="948">
        <v>0</v>
      </c>
      <c r="AB24" s="949">
        <v>0</v>
      </c>
      <c r="AC24" s="948">
        <v>38</v>
      </c>
      <c r="AD24" s="949">
        <v>143.69999999999999</v>
      </c>
      <c r="AE24" s="948">
        <v>0</v>
      </c>
      <c r="AF24" s="949">
        <v>0</v>
      </c>
      <c r="AG24" s="948">
        <v>6</v>
      </c>
      <c r="AH24" s="949">
        <v>13.6</v>
      </c>
      <c r="AI24" s="948">
        <v>66</v>
      </c>
      <c r="AJ24" s="949">
        <v>986.1</v>
      </c>
      <c r="AK24" s="316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</row>
    <row r="25" spans="1:54" ht="18.95" customHeight="1" thickBot="1">
      <c r="A25" s="315"/>
      <c r="B25" s="915" t="s">
        <v>36</v>
      </c>
      <c r="C25" s="916">
        <v>1</v>
      </c>
      <c r="D25" s="917">
        <v>80</v>
      </c>
      <c r="E25" s="916">
        <v>0</v>
      </c>
      <c r="F25" s="917">
        <v>0</v>
      </c>
      <c r="G25" s="916">
        <v>5</v>
      </c>
      <c r="H25" s="918">
        <v>139.91999999999999</v>
      </c>
      <c r="I25" s="916">
        <v>15</v>
      </c>
      <c r="J25" s="917">
        <v>109.14</v>
      </c>
      <c r="K25" s="916">
        <v>0</v>
      </c>
      <c r="L25" s="917">
        <v>0</v>
      </c>
      <c r="M25" s="916">
        <v>8</v>
      </c>
      <c r="N25" s="917">
        <v>152.69999999999999</v>
      </c>
      <c r="O25" s="916">
        <v>1</v>
      </c>
      <c r="P25" s="917">
        <v>6</v>
      </c>
      <c r="Q25" s="916">
        <v>4</v>
      </c>
      <c r="R25" s="917">
        <v>1980</v>
      </c>
      <c r="S25" s="313"/>
      <c r="T25" s="915" t="s">
        <v>36</v>
      </c>
      <c r="U25" s="916">
        <v>27</v>
      </c>
      <c r="V25" s="917">
        <v>55.13</v>
      </c>
      <c r="W25" s="916">
        <v>0</v>
      </c>
      <c r="X25" s="917">
        <v>0</v>
      </c>
      <c r="Y25" s="916">
        <v>0</v>
      </c>
      <c r="Z25" s="918">
        <v>0</v>
      </c>
      <c r="AA25" s="916">
        <v>8</v>
      </c>
      <c r="AB25" s="917">
        <v>14.2</v>
      </c>
      <c r="AC25" s="916">
        <v>1</v>
      </c>
      <c r="AD25" s="917">
        <v>1.1000000000000001</v>
      </c>
      <c r="AE25" s="916">
        <v>1</v>
      </c>
      <c r="AF25" s="917">
        <v>3.6</v>
      </c>
      <c r="AG25" s="916">
        <v>1</v>
      </c>
      <c r="AH25" s="917">
        <v>3.5</v>
      </c>
      <c r="AI25" s="916">
        <v>72</v>
      </c>
      <c r="AJ25" s="917">
        <v>2545.29</v>
      </c>
      <c r="AK25" s="316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</row>
    <row r="26" spans="1:54" ht="18.95" customHeight="1" thickBot="1">
      <c r="A26" s="315"/>
      <c r="B26" s="946" t="s">
        <v>225</v>
      </c>
      <c r="C26" s="948">
        <v>0</v>
      </c>
      <c r="D26" s="949">
        <v>0</v>
      </c>
      <c r="E26" s="948">
        <v>0</v>
      </c>
      <c r="F26" s="949">
        <v>0</v>
      </c>
      <c r="G26" s="948">
        <v>4</v>
      </c>
      <c r="H26" s="950">
        <v>359.1</v>
      </c>
      <c r="I26" s="948">
        <v>1</v>
      </c>
      <c r="J26" s="949">
        <v>0.6</v>
      </c>
      <c r="K26" s="948">
        <v>0</v>
      </c>
      <c r="L26" s="949">
        <v>0</v>
      </c>
      <c r="M26" s="948">
        <v>25</v>
      </c>
      <c r="N26" s="949">
        <v>328.5</v>
      </c>
      <c r="O26" s="948">
        <v>0</v>
      </c>
      <c r="P26" s="949">
        <v>0</v>
      </c>
      <c r="Q26" s="948">
        <v>0</v>
      </c>
      <c r="R26" s="949">
        <v>0</v>
      </c>
      <c r="S26" s="313"/>
      <c r="T26" s="946" t="s">
        <v>225</v>
      </c>
      <c r="U26" s="948">
        <v>37</v>
      </c>
      <c r="V26" s="949">
        <v>60.4</v>
      </c>
      <c r="W26" s="948">
        <v>3</v>
      </c>
      <c r="X26" s="949">
        <v>3.6</v>
      </c>
      <c r="Y26" s="948">
        <v>0</v>
      </c>
      <c r="Z26" s="950">
        <v>0</v>
      </c>
      <c r="AA26" s="948">
        <v>0</v>
      </c>
      <c r="AB26" s="949">
        <v>0</v>
      </c>
      <c r="AC26" s="948">
        <v>1</v>
      </c>
      <c r="AD26" s="949">
        <v>1.3</v>
      </c>
      <c r="AE26" s="948">
        <v>1</v>
      </c>
      <c r="AF26" s="949">
        <v>26</v>
      </c>
      <c r="AG26" s="948">
        <v>3</v>
      </c>
      <c r="AH26" s="949">
        <v>20.95</v>
      </c>
      <c r="AI26" s="948">
        <v>75</v>
      </c>
      <c r="AJ26" s="949">
        <v>800.45</v>
      </c>
      <c r="AK26" s="316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</row>
    <row r="27" spans="1:54" ht="18.95" customHeight="1" thickBot="1">
      <c r="A27" s="315"/>
      <c r="B27" s="915" t="s">
        <v>27</v>
      </c>
      <c r="C27" s="916">
        <v>0</v>
      </c>
      <c r="D27" s="917">
        <v>0</v>
      </c>
      <c r="E27" s="916">
        <v>5</v>
      </c>
      <c r="F27" s="917">
        <v>9.6</v>
      </c>
      <c r="G27" s="916">
        <v>0</v>
      </c>
      <c r="H27" s="918">
        <v>0</v>
      </c>
      <c r="I27" s="916">
        <v>0</v>
      </c>
      <c r="J27" s="917">
        <v>0</v>
      </c>
      <c r="K27" s="916">
        <v>0</v>
      </c>
      <c r="L27" s="917">
        <v>0</v>
      </c>
      <c r="M27" s="916">
        <v>22</v>
      </c>
      <c r="N27" s="917">
        <v>1700.08</v>
      </c>
      <c r="O27" s="916">
        <v>0</v>
      </c>
      <c r="P27" s="917">
        <v>0</v>
      </c>
      <c r="Q27" s="916">
        <v>0</v>
      </c>
      <c r="R27" s="917">
        <v>0</v>
      </c>
      <c r="S27" s="313"/>
      <c r="T27" s="915" t="s">
        <v>27</v>
      </c>
      <c r="U27" s="916">
        <v>0</v>
      </c>
      <c r="V27" s="917">
        <v>0</v>
      </c>
      <c r="W27" s="916">
        <v>0</v>
      </c>
      <c r="X27" s="917">
        <v>0</v>
      </c>
      <c r="Y27" s="916">
        <v>0</v>
      </c>
      <c r="Z27" s="918">
        <v>0</v>
      </c>
      <c r="AA27" s="916">
        <v>0</v>
      </c>
      <c r="AB27" s="917">
        <v>0</v>
      </c>
      <c r="AC27" s="916">
        <v>0</v>
      </c>
      <c r="AD27" s="917">
        <v>0</v>
      </c>
      <c r="AE27" s="916">
        <v>0</v>
      </c>
      <c r="AF27" s="917">
        <v>0</v>
      </c>
      <c r="AG27" s="916">
        <v>4</v>
      </c>
      <c r="AH27" s="917">
        <v>15.5</v>
      </c>
      <c r="AI27" s="916">
        <v>31</v>
      </c>
      <c r="AJ27" s="917">
        <v>1725.1799999999998</v>
      </c>
      <c r="AK27" s="316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</row>
    <row r="28" spans="1:54" ht="18.95" customHeight="1" thickBot="1">
      <c r="A28" s="315"/>
      <c r="B28" s="946" t="s">
        <v>28</v>
      </c>
      <c r="C28" s="948">
        <v>0</v>
      </c>
      <c r="D28" s="949">
        <v>0</v>
      </c>
      <c r="E28" s="948">
        <v>1</v>
      </c>
      <c r="F28" s="949">
        <v>1000</v>
      </c>
      <c r="G28" s="948">
        <v>2</v>
      </c>
      <c r="H28" s="950">
        <v>5.67</v>
      </c>
      <c r="I28" s="948">
        <v>8</v>
      </c>
      <c r="J28" s="949">
        <v>284.7</v>
      </c>
      <c r="K28" s="948">
        <v>2</v>
      </c>
      <c r="L28" s="949">
        <v>230</v>
      </c>
      <c r="M28" s="948">
        <v>10</v>
      </c>
      <c r="N28" s="949">
        <v>353.13</v>
      </c>
      <c r="O28" s="948">
        <v>0</v>
      </c>
      <c r="P28" s="949">
        <v>0</v>
      </c>
      <c r="Q28" s="948">
        <v>0</v>
      </c>
      <c r="R28" s="949">
        <v>0</v>
      </c>
      <c r="S28" s="313"/>
      <c r="T28" s="946" t="s">
        <v>28</v>
      </c>
      <c r="U28" s="948">
        <v>1</v>
      </c>
      <c r="V28" s="949">
        <v>13</v>
      </c>
      <c r="W28" s="948">
        <v>0</v>
      </c>
      <c r="X28" s="949">
        <v>0</v>
      </c>
      <c r="Y28" s="948">
        <v>0</v>
      </c>
      <c r="Z28" s="950">
        <v>0</v>
      </c>
      <c r="AA28" s="948">
        <v>4</v>
      </c>
      <c r="AB28" s="949">
        <v>9.06</v>
      </c>
      <c r="AC28" s="948">
        <v>2</v>
      </c>
      <c r="AD28" s="949">
        <v>10.66</v>
      </c>
      <c r="AE28" s="948">
        <v>0</v>
      </c>
      <c r="AF28" s="949">
        <v>0</v>
      </c>
      <c r="AG28" s="948">
        <v>0</v>
      </c>
      <c r="AH28" s="949">
        <v>0</v>
      </c>
      <c r="AI28" s="948">
        <v>30</v>
      </c>
      <c r="AJ28" s="949">
        <v>1906.22</v>
      </c>
      <c r="AK28" s="316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</row>
    <row r="29" spans="1:54" ht="18.95" customHeight="1" thickBot="1">
      <c r="A29" s="315"/>
      <c r="B29" s="915" t="s">
        <v>29</v>
      </c>
      <c r="C29" s="916">
        <v>0</v>
      </c>
      <c r="D29" s="917">
        <v>0</v>
      </c>
      <c r="E29" s="916">
        <v>0</v>
      </c>
      <c r="F29" s="917">
        <v>0</v>
      </c>
      <c r="G29" s="916">
        <v>2</v>
      </c>
      <c r="H29" s="918">
        <v>0.7</v>
      </c>
      <c r="I29" s="916">
        <v>29</v>
      </c>
      <c r="J29" s="917">
        <v>1426.97</v>
      </c>
      <c r="K29" s="916">
        <v>1</v>
      </c>
      <c r="L29" s="917">
        <v>10</v>
      </c>
      <c r="M29" s="916">
        <v>11</v>
      </c>
      <c r="N29" s="917">
        <v>491.1</v>
      </c>
      <c r="O29" s="916">
        <v>0</v>
      </c>
      <c r="P29" s="917">
        <v>0</v>
      </c>
      <c r="Q29" s="916">
        <v>2</v>
      </c>
      <c r="R29" s="917">
        <v>2453</v>
      </c>
      <c r="S29" s="313"/>
      <c r="T29" s="915" t="s">
        <v>29</v>
      </c>
      <c r="U29" s="916">
        <v>0</v>
      </c>
      <c r="V29" s="917">
        <v>0</v>
      </c>
      <c r="W29" s="916">
        <v>26</v>
      </c>
      <c r="X29" s="917">
        <v>51.5</v>
      </c>
      <c r="Y29" s="916">
        <v>0</v>
      </c>
      <c r="Z29" s="918">
        <v>0</v>
      </c>
      <c r="AA29" s="916">
        <v>25</v>
      </c>
      <c r="AB29" s="917">
        <v>30.28</v>
      </c>
      <c r="AC29" s="916">
        <v>66</v>
      </c>
      <c r="AD29" s="917">
        <v>110.75999999999999</v>
      </c>
      <c r="AE29" s="916">
        <v>0</v>
      </c>
      <c r="AF29" s="917">
        <v>0</v>
      </c>
      <c r="AG29" s="916">
        <v>0</v>
      </c>
      <c r="AH29" s="917">
        <v>0</v>
      </c>
      <c r="AI29" s="916">
        <v>162</v>
      </c>
      <c r="AJ29" s="917">
        <v>4574.3100000000004</v>
      </c>
      <c r="AK29" s="316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</row>
    <row r="30" spans="1:54" ht="18.95" customHeight="1" thickBot="1">
      <c r="A30" s="315"/>
      <c r="B30" s="946" t="s">
        <v>37</v>
      </c>
      <c r="C30" s="948">
        <v>0</v>
      </c>
      <c r="D30" s="949">
        <v>0</v>
      </c>
      <c r="E30" s="948">
        <v>0</v>
      </c>
      <c r="F30" s="949">
        <v>0</v>
      </c>
      <c r="G30" s="948">
        <v>0</v>
      </c>
      <c r="H30" s="950">
        <v>0</v>
      </c>
      <c r="I30" s="948">
        <v>70</v>
      </c>
      <c r="J30" s="949">
        <v>1265.28</v>
      </c>
      <c r="K30" s="948">
        <v>3</v>
      </c>
      <c r="L30" s="949">
        <v>1349.14</v>
      </c>
      <c r="M30" s="948">
        <v>4</v>
      </c>
      <c r="N30" s="949">
        <v>204.75</v>
      </c>
      <c r="O30" s="948">
        <v>0</v>
      </c>
      <c r="P30" s="949">
        <v>0</v>
      </c>
      <c r="Q30" s="948">
        <v>0</v>
      </c>
      <c r="R30" s="949">
        <v>0</v>
      </c>
      <c r="S30" s="313"/>
      <c r="T30" s="946" t="s">
        <v>37</v>
      </c>
      <c r="U30" s="948">
        <v>0</v>
      </c>
      <c r="V30" s="949">
        <v>0</v>
      </c>
      <c r="W30" s="948">
        <v>0</v>
      </c>
      <c r="X30" s="949">
        <v>0</v>
      </c>
      <c r="Y30" s="948">
        <v>0</v>
      </c>
      <c r="Z30" s="950">
        <v>0</v>
      </c>
      <c r="AA30" s="948">
        <v>5</v>
      </c>
      <c r="AB30" s="949">
        <v>3.22</v>
      </c>
      <c r="AC30" s="948">
        <v>1</v>
      </c>
      <c r="AD30" s="949">
        <v>4.04</v>
      </c>
      <c r="AE30" s="948">
        <v>0</v>
      </c>
      <c r="AF30" s="949">
        <v>0</v>
      </c>
      <c r="AG30" s="948">
        <v>0</v>
      </c>
      <c r="AH30" s="949">
        <v>0</v>
      </c>
      <c r="AI30" s="948">
        <v>83</v>
      </c>
      <c r="AJ30" s="949">
        <v>2826.43</v>
      </c>
      <c r="AK30" s="316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</row>
    <row r="31" spans="1:54" ht="18.95" customHeight="1" thickBot="1">
      <c r="A31" s="315"/>
      <c r="B31" s="915" t="s">
        <v>30</v>
      </c>
      <c r="C31" s="916">
        <v>0</v>
      </c>
      <c r="D31" s="917">
        <v>0</v>
      </c>
      <c r="E31" s="916">
        <v>0</v>
      </c>
      <c r="F31" s="917">
        <v>0</v>
      </c>
      <c r="G31" s="916">
        <v>9</v>
      </c>
      <c r="H31" s="918">
        <v>105</v>
      </c>
      <c r="I31" s="916">
        <v>9</v>
      </c>
      <c r="J31" s="917">
        <v>591</v>
      </c>
      <c r="K31" s="916">
        <v>0</v>
      </c>
      <c r="L31" s="917">
        <v>0</v>
      </c>
      <c r="M31" s="916">
        <v>5</v>
      </c>
      <c r="N31" s="917">
        <v>168</v>
      </c>
      <c r="O31" s="916">
        <v>0</v>
      </c>
      <c r="P31" s="917">
        <v>0</v>
      </c>
      <c r="Q31" s="916">
        <v>0</v>
      </c>
      <c r="R31" s="917">
        <v>0</v>
      </c>
      <c r="S31" s="313"/>
      <c r="T31" s="915" t="s">
        <v>30</v>
      </c>
      <c r="U31" s="916">
        <v>0</v>
      </c>
      <c r="V31" s="917">
        <v>0</v>
      </c>
      <c r="W31" s="916">
        <v>5</v>
      </c>
      <c r="X31" s="917">
        <v>11.18</v>
      </c>
      <c r="Y31" s="916">
        <v>38</v>
      </c>
      <c r="Z31" s="918">
        <v>277.77999999999997</v>
      </c>
      <c r="AA31" s="916">
        <v>0</v>
      </c>
      <c r="AB31" s="917">
        <v>0</v>
      </c>
      <c r="AC31" s="916">
        <v>3</v>
      </c>
      <c r="AD31" s="917">
        <v>215</v>
      </c>
      <c r="AE31" s="916">
        <v>1</v>
      </c>
      <c r="AF31" s="917">
        <v>12.5</v>
      </c>
      <c r="AG31" s="916">
        <v>3</v>
      </c>
      <c r="AH31" s="917">
        <v>16</v>
      </c>
      <c r="AI31" s="916">
        <v>73</v>
      </c>
      <c r="AJ31" s="917">
        <v>1396.46</v>
      </c>
      <c r="AK31" s="316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</row>
    <row r="32" spans="1:54" ht="18.95" customHeight="1" thickBot="1">
      <c r="A32" s="315"/>
      <c r="B32" s="946" t="s">
        <v>31</v>
      </c>
      <c r="C32" s="948">
        <v>0</v>
      </c>
      <c r="D32" s="949">
        <v>0</v>
      </c>
      <c r="E32" s="948">
        <v>0</v>
      </c>
      <c r="F32" s="949">
        <v>0</v>
      </c>
      <c r="G32" s="948">
        <v>0</v>
      </c>
      <c r="H32" s="950">
        <v>0</v>
      </c>
      <c r="I32" s="948">
        <v>23</v>
      </c>
      <c r="J32" s="949">
        <v>2410.64</v>
      </c>
      <c r="K32" s="948">
        <v>0</v>
      </c>
      <c r="L32" s="949">
        <v>0</v>
      </c>
      <c r="M32" s="948">
        <v>13</v>
      </c>
      <c r="N32" s="949">
        <v>1836.06</v>
      </c>
      <c r="O32" s="948">
        <v>2</v>
      </c>
      <c r="P32" s="949">
        <v>32</v>
      </c>
      <c r="Q32" s="948">
        <v>0</v>
      </c>
      <c r="R32" s="949">
        <v>0</v>
      </c>
      <c r="S32" s="313"/>
      <c r="T32" s="946" t="s">
        <v>38</v>
      </c>
      <c r="U32" s="948">
        <v>0</v>
      </c>
      <c r="V32" s="949">
        <v>0</v>
      </c>
      <c r="W32" s="948">
        <v>0</v>
      </c>
      <c r="X32" s="949">
        <v>0</v>
      </c>
      <c r="Y32" s="948">
        <v>1</v>
      </c>
      <c r="Z32" s="950">
        <v>15</v>
      </c>
      <c r="AA32" s="948">
        <v>0</v>
      </c>
      <c r="AB32" s="949">
        <v>0</v>
      </c>
      <c r="AC32" s="948">
        <v>1</v>
      </c>
      <c r="AD32" s="949">
        <v>5</v>
      </c>
      <c r="AE32" s="948">
        <v>0</v>
      </c>
      <c r="AF32" s="949">
        <v>0</v>
      </c>
      <c r="AG32" s="948">
        <v>2</v>
      </c>
      <c r="AH32" s="949">
        <v>22</v>
      </c>
      <c r="AI32" s="948">
        <v>42</v>
      </c>
      <c r="AJ32" s="949">
        <v>4320.7</v>
      </c>
      <c r="AK32" s="316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</row>
    <row r="33" spans="1:54" ht="18.95" customHeight="1" thickBot="1">
      <c r="A33" s="315"/>
      <c r="B33" s="915" t="s">
        <v>32</v>
      </c>
      <c r="C33" s="916">
        <v>0</v>
      </c>
      <c r="D33" s="917">
        <v>0</v>
      </c>
      <c r="E33" s="916">
        <v>0</v>
      </c>
      <c r="F33" s="917">
        <v>0</v>
      </c>
      <c r="G33" s="916">
        <v>1</v>
      </c>
      <c r="H33" s="918">
        <v>120</v>
      </c>
      <c r="I33" s="916">
        <v>21</v>
      </c>
      <c r="J33" s="917">
        <v>195.84</v>
      </c>
      <c r="K33" s="916">
        <v>6</v>
      </c>
      <c r="L33" s="917">
        <v>516.12</v>
      </c>
      <c r="M33" s="916">
        <v>7</v>
      </c>
      <c r="N33" s="917">
        <v>23.79</v>
      </c>
      <c r="O33" s="916">
        <v>0</v>
      </c>
      <c r="P33" s="917">
        <v>0</v>
      </c>
      <c r="Q33" s="916">
        <v>0</v>
      </c>
      <c r="R33" s="917">
        <v>0</v>
      </c>
      <c r="S33" s="313"/>
      <c r="T33" s="915" t="s">
        <v>32</v>
      </c>
      <c r="U33" s="916">
        <v>14</v>
      </c>
      <c r="V33" s="917">
        <v>14.99</v>
      </c>
      <c r="W33" s="916">
        <v>0</v>
      </c>
      <c r="X33" s="917">
        <v>0</v>
      </c>
      <c r="Y33" s="916">
        <v>1</v>
      </c>
      <c r="Z33" s="918">
        <v>4.67</v>
      </c>
      <c r="AA33" s="916">
        <v>0</v>
      </c>
      <c r="AB33" s="917">
        <v>0</v>
      </c>
      <c r="AC33" s="916">
        <v>5</v>
      </c>
      <c r="AD33" s="917">
        <v>15.219999999999999</v>
      </c>
      <c r="AE33" s="916">
        <v>0</v>
      </c>
      <c r="AF33" s="917">
        <v>0</v>
      </c>
      <c r="AG33" s="916">
        <v>0</v>
      </c>
      <c r="AH33" s="917">
        <v>0</v>
      </c>
      <c r="AI33" s="916">
        <v>55</v>
      </c>
      <c r="AJ33" s="917">
        <v>890.63</v>
      </c>
      <c r="AK33" s="316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</row>
    <row r="34" spans="1:54" ht="18.95" customHeight="1" thickBot="1">
      <c r="A34" s="315"/>
      <c r="B34" s="946" t="s">
        <v>262</v>
      </c>
      <c r="C34" s="948">
        <v>0</v>
      </c>
      <c r="D34" s="949">
        <v>0</v>
      </c>
      <c r="E34" s="948">
        <v>0</v>
      </c>
      <c r="F34" s="949">
        <v>0</v>
      </c>
      <c r="G34" s="948">
        <v>3</v>
      </c>
      <c r="H34" s="950">
        <v>821</v>
      </c>
      <c r="I34" s="948">
        <v>16</v>
      </c>
      <c r="J34" s="949">
        <v>454.37</v>
      </c>
      <c r="K34" s="948">
        <v>1</v>
      </c>
      <c r="L34" s="949">
        <v>60</v>
      </c>
      <c r="M34" s="948">
        <v>38</v>
      </c>
      <c r="N34" s="949">
        <v>1742.3</v>
      </c>
      <c r="O34" s="948">
        <v>4</v>
      </c>
      <c r="P34" s="949">
        <v>14.2</v>
      </c>
      <c r="Q34" s="948">
        <v>0</v>
      </c>
      <c r="R34" s="949">
        <v>0</v>
      </c>
      <c r="S34" s="313"/>
      <c r="T34" s="946" t="s">
        <v>226</v>
      </c>
      <c r="U34" s="948">
        <v>6</v>
      </c>
      <c r="V34" s="949">
        <v>764</v>
      </c>
      <c r="W34" s="948">
        <v>4</v>
      </c>
      <c r="X34" s="949">
        <v>1.2</v>
      </c>
      <c r="Y34" s="948">
        <v>7</v>
      </c>
      <c r="Z34" s="950">
        <v>39</v>
      </c>
      <c r="AA34" s="948">
        <v>9</v>
      </c>
      <c r="AB34" s="949">
        <v>10.8</v>
      </c>
      <c r="AC34" s="948">
        <v>6</v>
      </c>
      <c r="AD34" s="949">
        <v>14.5</v>
      </c>
      <c r="AE34" s="948">
        <v>0</v>
      </c>
      <c r="AF34" s="949">
        <v>0</v>
      </c>
      <c r="AG34" s="948">
        <v>11</v>
      </c>
      <c r="AH34" s="949">
        <v>171.92</v>
      </c>
      <c r="AI34" s="948">
        <v>105</v>
      </c>
      <c r="AJ34" s="949">
        <v>4093.29</v>
      </c>
      <c r="AK34" s="316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</row>
    <row r="35" spans="1:54" ht="18.95" customHeight="1" thickBot="1">
      <c r="A35" s="315"/>
      <c r="B35" s="915" t="s">
        <v>34</v>
      </c>
      <c r="C35" s="916">
        <v>0</v>
      </c>
      <c r="D35" s="917">
        <v>0</v>
      </c>
      <c r="E35" s="916">
        <v>0</v>
      </c>
      <c r="F35" s="917">
        <v>0</v>
      </c>
      <c r="G35" s="916">
        <v>0</v>
      </c>
      <c r="H35" s="918">
        <v>0</v>
      </c>
      <c r="I35" s="916">
        <v>1</v>
      </c>
      <c r="J35" s="917">
        <v>4</v>
      </c>
      <c r="K35" s="916">
        <v>0</v>
      </c>
      <c r="L35" s="917">
        <v>0</v>
      </c>
      <c r="M35" s="916">
        <v>11</v>
      </c>
      <c r="N35" s="917">
        <v>49.39</v>
      </c>
      <c r="O35" s="916">
        <v>0</v>
      </c>
      <c r="P35" s="917">
        <v>0</v>
      </c>
      <c r="Q35" s="916">
        <v>0</v>
      </c>
      <c r="R35" s="917">
        <v>0</v>
      </c>
      <c r="S35" s="313"/>
      <c r="T35" s="915" t="s">
        <v>34</v>
      </c>
      <c r="U35" s="916">
        <v>0</v>
      </c>
      <c r="V35" s="917">
        <v>0</v>
      </c>
      <c r="W35" s="916">
        <v>0</v>
      </c>
      <c r="X35" s="917">
        <v>0</v>
      </c>
      <c r="Y35" s="916">
        <v>0</v>
      </c>
      <c r="Z35" s="918">
        <v>0</v>
      </c>
      <c r="AA35" s="916">
        <v>1</v>
      </c>
      <c r="AB35" s="917">
        <v>5</v>
      </c>
      <c r="AC35" s="916">
        <v>0</v>
      </c>
      <c r="AD35" s="917">
        <v>0</v>
      </c>
      <c r="AE35" s="916">
        <v>0</v>
      </c>
      <c r="AF35" s="917">
        <v>0</v>
      </c>
      <c r="AG35" s="916">
        <v>7</v>
      </c>
      <c r="AH35" s="917">
        <v>23.6</v>
      </c>
      <c r="AI35" s="916">
        <v>20</v>
      </c>
      <c r="AJ35" s="917">
        <v>81.990000000000009</v>
      </c>
      <c r="AK35" s="316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</row>
    <row r="36" spans="1:54" ht="18.95" customHeight="1" thickBot="1">
      <c r="A36" s="315"/>
      <c r="B36" s="946" t="s">
        <v>35</v>
      </c>
      <c r="C36" s="948">
        <v>2</v>
      </c>
      <c r="D36" s="949">
        <v>112</v>
      </c>
      <c r="E36" s="948">
        <v>0</v>
      </c>
      <c r="F36" s="949">
        <v>0</v>
      </c>
      <c r="G36" s="948">
        <v>5</v>
      </c>
      <c r="H36" s="950">
        <v>58</v>
      </c>
      <c r="I36" s="948">
        <v>18</v>
      </c>
      <c r="J36" s="949">
        <v>273</v>
      </c>
      <c r="K36" s="948">
        <v>2</v>
      </c>
      <c r="L36" s="949">
        <v>33</v>
      </c>
      <c r="M36" s="948">
        <v>4</v>
      </c>
      <c r="N36" s="949">
        <v>116.8</v>
      </c>
      <c r="O36" s="948">
        <v>0</v>
      </c>
      <c r="P36" s="949">
        <v>0</v>
      </c>
      <c r="Q36" s="948">
        <v>0</v>
      </c>
      <c r="R36" s="949">
        <v>0</v>
      </c>
      <c r="S36" s="313"/>
      <c r="T36" s="946" t="s">
        <v>35</v>
      </c>
      <c r="U36" s="948">
        <v>5</v>
      </c>
      <c r="V36" s="949">
        <v>21.25</v>
      </c>
      <c r="W36" s="948">
        <v>18</v>
      </c>
      <c r="X36" s="949">
        <v>27.6</v>
      </c>
      <c r="Y36" s="948">
        <v>0</v>
      </c>
      <c r="Z36" s="950">
        <v>0</v>
      </c>
      <c r="AA36" s="948">
        <v>0</v>
      </c>
      <c r="AB36" s="949">
        <v>0</v>
      </c>
      <c r="AC36" s="948">
        <v>0</v>
      </c>
      <c r="AD36" s="949">
        <v>0</v>
      </c>
      <c r="AE36" s="948">
        <v>0</v>
      </c>
      <c r="AF36" s="949">
        <v>0</v>
      </c>
      <c r="AG36" s="948">
        <v>1</v>
      </c>
      <c r="AH36" s="949">
        <v>2.98</v>
      </c>
      <c r="AI36" s="948">
        <v>55</v>
      </c>
      <c r="AJ36" s="949">
        <v>644.63</v>
      </c>
      <c r="AK36" s="316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</row>
    <row r="37" spans="1:54" ht="18.95" customHeight="1" thickBot="1">
      <c r="A37" s="315"/>
      <c r="B37" s="932" t="s">
        <v>52</v>
      </c>
      <c r="C37" s="933">
        <v>8</v>
      </c>
      <c r="D37" s="939">
        <v>464.5</v>
      </c>
      <c r="E37" s="933">
        <v>10</v>
      </c>
      <c r="F37" s="934">
        <v>4175.6000000000004</v>
      </c>
      <c r="G37" s="933">
        <v>97</v>
      </c>
      <c r="H37" s="934">
        <v>4734.3899999999994</v>
      </c>
      <c r="I37" s="933">
        <v>707</v>
      </c>
      <c r="J37" s="934">
        <v>13738.140000000001</v>
      </c>
      <c r="K37" s="933">
        <v>32</v>
      </c>
      <c r="L37" s="934">
        <v>7142.8899999999994</v>
      </c>
      <c r="M37" s="933">
        <v>546</v>
      </c>
      <c r="N37" s="934">
        <v>40919.68</v>
      </c>
      <c r="O37" s="933">
        <v>21</v>
      </c>
      <c r="P37" s="934">
        <v>1598.56</v>
      </c>
      <c r="Q37" s="933">
        <v>16</v>
      </c>
      <c r="R37" s="934">
        <v>9814</v>
      </c>
      <c r="S37" s="313"/>
      <c r="T37" s="932" t="s">
        <v>52</v>
      </c>
      <c r="U37" s="933">
        <v>129</v>
      </c>
      <c r="V37" s="939">
        <v>1125.7</v>
      </c>
      <c r="W37" s="933">
        <v>61</v>
      </c>
      <c r="X37" s="934">
        <v>109.58000000000001</v>
      </c>
      <c r="Y37" s="933">
        <v>61</v>
      </c>
      <c r="Z37" s="934">
        <v>410.21999999999997</v>
      </c>
      <c r="AA37" s="933">
        <v>78</v>
      </c>
      <c r="AB37" s="934">
        <v>105.26</v>
      </c>
      <c r="AC37" s="933">
        <v>160</v>
      </c>
      <c r="AD37" s="934">
        <v>597.38000000000011</v>
      </c>
      <c r="AE37" s="933">
        <v>24</v>
      </c>
      <c r="AF37" s="934">
        <v>2364.6699999999996</v>
      </c>
      <c r="AG37" s="933">
        <v>79</v>
      </c>
      <c r="AH37" s="934">
        <v>826.5100000000001</v>
      </c>
      <c r="AI37" s="933">
        <v>2029</v>
      </c>
      <c r="AJ37" s="934">
        <v>88127.08</v>
      </c>
      <c r="AK37" s="317"/>
      <c r="AL37" s="255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</row>
    <row r="38" spans="1:54" ht="12.75" customHeight="1">
      <c r="A38" s="315"/>
      <c r="B38" s="874" t="s">
        <v>306</v>
      </c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13"/>
      <c r="T38" s="874" t="s">
        <v>306</v>
      </c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16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</row>
    <row r="39" spans="1:54" ht="9" customHeight="1">
      <c r="A39" s="316"/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8"/>
      <c r="AH39" s="316"/>
      <c r="AI39" s="316"/>
      <c r="AJ39" s="316"/>
      <c r="AK39" s="316"/>
    </row>
  </sheetData>
  <sheetProtection password="CF4C" sheet="1" objects="1" scenarios="1"/>
  <mergeCells count="20">
    <mergeCell ref="B2:R2"/>
    <mergeCell ref="T2:AJ2"/>
    <mergeCell ref="AI3:AJ3"/>
    <mergeCell ref="K3:L3"/>
    <mergeCell ref="M3:N3"/>
    <mergeCell ref="O3:P3"/>
    <mergeCell ref="B3:B4"/>
    <mergeCell ref="C3:D3"/>
    <mergeCell ref="E3:F3"/>
    <mergeCell ref="G3:H3"/>
    <mergeCell ref="I3:J3"/>
    <mergeCell ref="AC3:AD3"/>
    <mergeCell ref="AE3:AF3"/>
    <mergeCell ref="AG3:AH3"/>
    <mergeCell ref="Q3:R3"/>
    <mergeCell ref="W3:X3"/>
    <mergeCell ref="Y3:Z3"/>
    <mergeCell ref="AA3:AB3"/>
    <mergeCell ref="U3:V3"/>
    <mergeCell ref="T3:T4"/>
  </mergeCells>
  <phoneticPr fontId="9" type="noConversion"/>
  <printOptions horizontalCentered="1"/>
  <pageMargins left="0.39370078740157483" right="0.39370078740157483" top="0.59055118110236227" bottom="0.59055118110236227" header="0.39370078740157483" footer="0.39370078740157483"/>
  <pageSetup scale="65" fitToWidth="2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 enableFormatConditionsCalculation="0">
    <tabColor rgb="FFD8C57E"/>
    <pageSetUpPr fitToPage="1"/>
  </sheetPr>
  <dimension ref="A1:W46"/>
  <sheetViews>
    <sheetView showGridLines="0" zoomScaleNormal="100" workbookViewId="0">
      <selection activeCell="N27" sqref="N27"/>
    </sheetView>
  </sheetViews>
  <sheetFormatPr baseColWidth="10" defaultRowHeight="12.75"/>
  <cols>
    <col min="1" max="1" width="1.7109375" customWidth="1"/>
    <col min="2" max="2" width="22.85546875" customWidth="1"/>
    <col min="3" max="3" width="9.140625" customWidth="1"/>
    <col min="4" max="4" width="8.28515625" customWidth="1"/>
    <col min="5" max="5" width="10.28515625" customWidth="1"/>
    <col min="6" max="6" width="12.28515625" customWidth="1"/>
    <col min="7" max="7" width="12.140625" customWidth="1"/>
    <col min="8" max="8" width="9.140625" customWidth="1"/>
    <col min="9" max="9" width="11.7109375" customWidth="1"/>
    <col min="10" max="10" width="9.42578125" customWidth="1"/>
    <col min="11" max="11" width="10.5703125" customWidth="1"/>
    <col min="12" max="12" width="7.5703125" customWidth="1"/>
    <col min="13" max="15" width="8.7109375" customWidth="1"/>
    <col min="16" max="16" width="1.7109375" customWidth="1"/>
    <col min="18" max="18" width="7.5703125" bestFit="1" customWidth="1"/>
    <col min="19" max="19" width="11.85546875" bestFit="1" customWidth="1"/>
    <col min="20" max="20" width="7.5703125" bestFit="1" customWidth="1"/>
    <col min="21" max="21" width="12" bestFit="1" customWidth="1"/>
    <col min="22" max="22" width="1.7109375" customWidth="1"/>
    <col min="23" max="23" width="11.5703125" bestFit="1" customWidth="1"/>
  </cols>
  <sheetData>
    <row r="1" spans="1:23" s="46" customFormat="1" ht="15.75">
      <c r="A1" s="261"/>
      <c r="B1" s="259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1"/>
      <c r="R1" s="45"/>
      <c r="S1" s="45"/>
      <c r="T1" s="45"/>
      <c r="U1" s="45"/>
      <c r="V1" s="48"/>
    </row>
    <row r="2" spans="1:23" s="133" customFormat="1" ht="18" customHeight="1" thickBot="1">
      <c r="A2" s="323"/>
      <c r="B2" s="1357" t="s">
        <v>394</v>
      </c>
      <c r="C2" s="1357"/>
      <c r="D2" s="1357"/>
      <c r="E2" s="1357"/>
      <c r="F2" s="1357"/>
      <c r="G2" s="1357"/>
      <c r="H2" s="1357"/>
      <c r="I2" s="1357"/>
      <c r="J2" s="1357"/>
      <c r="K2" s="1357"/>
      <c r="L2" s="1357"/>
      <c r="M2" s="1357"/>
      <c r="N2" s="1357"/>
      <c r="O2" s="1357"/>
      <c r="P2" s="323"/>
      <c r="R2" s="132"/>
      <c r="S2" s="132"/>
      <c r="T2" s="132"/>
      <c r="U2" s="132"/>
      <c r="V2" s="132"/>
      <c r="W2" s="132"/>
    </row>
    <row r="3" spans="1:23" ht="16.5" thickBot="1">
      <c r="A3" s="263"/>
      <c r="B3" s="1363" t="s">
        <v>230</v>
      </c>
      <c r="C3" s="942" t="s">
        <v>192</v>
      </c>
      <c r="D3" s="942"/>
      <c r="E3" s="942"/>
      <c r="F3" s="942" t="s">
        <v>349</v>
      </c>
      <c r="G3" s="942"/>
      <c r="H3" s="942" t="s">
        <v>350</v>
      </c>
      <c r="I3" s="942"/>
      <c r="J3" s="942"/>
      <c r="K3" s="942"/>
      <c r="L3" s="942"/>
      <c r="M3" s="942"/>
      <c r="N3" s="942"/>
      <c r="O3" s="942"/>
      <c r="P3" s="263"/>
      <c r="R3" s="132"/>
      <c r="S3" s="132"/>
      <c r="T3" s="132"/>
      <c r="U3" s="132"/>
      <c r="V3" s="132"/>
      <c r="W3" s="132"/>
    </row>
    <row r="4" spans="1:23" ht="16.5" thickBot="1">
      <c r="A4" s="263"/>
      <c r="B4" s="1363"/>
      <c r="C4" s="1363" t="s">
        <v>322</v>
      </c>
      <c r="D4" s="1363" t="s">
        <v>351</v>
      </c>
      <c r="E4" s="1363" t="s">
        <v>305</v>
      </c>
      <c r="F4" s="1363" t="s">
        <v>352</v>
      </c>
      <c r="G4" s="1363" t="s">
        <v>353</v>
      </c>
      <c r="H4" s="942" t="s">
        <v>341</v>
      </c>
      <c r="I4" s="942"/>
      <c r="J4" s="942" t="s">
        <v>354</v>
      </c>
      <c r="K4" s="942"/>
      <c r="L4" s="942" t="s">
        <v>355</v>
      </c>
      <c r="M4" s="942"/>
      <c r="N4" s="942" t="s">
        <v>356</v>
      </c>
      <c r="O4" s="942"/>
      <c r="P4" s="263"/>
      <c r="R4" s="132"/>
      <c r="S4" s="132"/>
      <c r="T4" s="132"/>
      <c r="U4" s="132"/>
      <c r="V4" s="132"/>
      <c r="W4" s="132"/>
    </row>
    <row r="5" spans="1:23" ht="32.25" thickBot="1">
      <c r="A5" s="263"/>
      <c r="B5" s="1363"/>
      <c r="C5" s="1363"/>
      <c r="D5" s="1363"/>
      <c r="E5" s="1363"/>
      <c r="F5" s="1363"/>
      <c r="G5" s="1363"/>
      <c r="H5" s="938" t="s">
        <v>80</v>
      </c>
      <c r="I5" s="938" t="s">
        <v>124</v>
      </c>
      <c r="J5" s="938" t="s">
        <v>80</v>
      </c>
      <c r="K5" s="938" t="s">
        <v>124</v>
      </c>
      <c r="L5" s="938" t="s">
        <v>80</v>
      </c>
      <c r="M5" s="938" t="s">
        <v>124</v>
      </c>
      <c r="N5" s="938" t="s">
        <v>80</v>
      </c>
      <c r="O5" s="938" t="s">
        <v>124</v>
      </c>
      <c r="P5" s="263"/>
      <c r="R5" s="132"/>
      <c r="S5" s="132"/>
      <c r="T5" s="132"/>
      <c r="U5" s="132"/>
      <c r="V5" s="132"/>
      <c r="W5" s="132"/>
    </row>
    <row r="6" spans="1:23" ht="18" customHeight="1" thickBot="1">
      <c r="A6" s="263"/>
      <c r="B6" s="915" t="s">
        <v>6</v>
      </c>
      <c r="C6" s="952">
        <v>57</v>
      </c>
      <c r="D6" s="953">
        <v>4</v>
      </c>
      <c r="E6" s="953">
        <v>53</v>
      </c>
      <c r="F6" s="917">
        <v>253.57</v>
      </c>
      <c r="G6" s="917">
        <v>119.83999999999999</v>
      </c>
      <c r="H6" s="953">
        <v>8</v>
      </c>
      <c r="I6" s="917">
        <v>9.02</v>
      </c>
      <c r="J6" s="953">
        <v>44</v>
      </c>
      <c r="K6" s="917">
        <v>90.82</v>
      </c>
      <c r="L6" s="953">
        <v>1</v>
      </c>
      <c r="M6" s="917">
        <v>20</v>
      </c>
      <c r="N6" s="953">
        <v>0</v>
      </c>
      <c r="O6" s="917">
        <v>0</v>
      </c>
      <c r="P6" s="263"/>
      <c r="R6" s="132"/>
      <c r="S6" s="132"/>
      <c r="T6" s="132"/>
      <c r="U6" s="132"/>
      <c r="V6" s="132"/>
      <c r="W6" s="132"/>
    </row>
    <row r="7" spans="1:23" ht="18" customHeight="1" thickBot="1">
      <c r="A7" s="263"/>
      <c r="B7" s="945" t="s">
        <v>7</v>
      </c>
      <c r="C7" s="954">
        <v>61</v>
      </c>
      <c r="D7" s="955">
        <v>0</v>
      </c>
      <c r="E7" s="955">
        <v>61</v>
      </c>
      <c r="F7" s="951">
        <v>481.99</v>
      </c>
      <c r="G7" s="951">
        <v>0</v>
      </c>
      <c r="H7" s="955">
        <v>27</v>
      </c>
      <c r="I7" s="951">
        <v>0</v>
      </c>
      <c r="J7" s="955">
        <v>34</v>
      </c>
      <c r="K7" s="951">
        <v>0</v>
      </c>
      <c r="L7" s="955">
        <v>0</v>
      </c>
      <c r="M7" s="951">
        <v>0</v>
      </c>
      <c r="N7" s="955">
        <v>0</v>
      </c>
      <c r="O7" s="951">
        <v>0</v>
      </c>
      <c r="P7" s="263"/>
      <c r="R7" s="132"/>
      <c r="S7" s="132"/>
      <c r="T7" s="132"/>
      <c r="U7" s="132"/>
      <c r="V7" s="132"/>
      <c r="W7" s="132"/>
    </row>
    <row r="8" spans="1:23" ht="18" customHeight="1" thickBot="1">
      <c r="A8" s="263"/>
      <c r="B8" s="915" t="s">
        <v>8</v>
      </c>
      <c r="C8" s="952">
        <v>10</v>
      </c>
      <c r="D8" s="953">
        <v>3</v>
      </c>
      <c r="E8" s="953">
        <v>7</v>
      </c>
      <c r="F8" s="917">
        <v>8.15</v>
      </c>
      <c r="G8" s="917">
        <v>8.15</v>
      </c>
      <c r="H8" s="953">
        <v>1</v>
      </c>
      <c r="I8" s="917">
        <v>0.76</v>
      </c>
      <c r="J8" s="953">
        <v>6</v>
      </c>
      <c r="K8" s="917">
        <v>7.39</v>
      </c>
      <c r="L8" s="953">
        <v>0</v>
      </c>
      <c r="M8" s="917">
        <v>0</v>
      </c>
      <c r="N8" s="953">
        <v>0</v>
      </c>
      <c r="O8" s="917">
        <v>0</v>
      </c>
      <c r="P8" s="263"/>
      <c r="R8" s="132"/>
      <c r="S8" s="132"/>
      <c r="T8" s="132"/>
      <c r="U8" s="132"/>
      <c r="V8" s="132"/>
      <c r="W8" s="132"/>
    </row>
    <row r="9" spans="1:23" ht="18" customHeight="1" thickBot="1">
      <c r="A9" s="263"/>
      <c r="B9" s="945" t="s">
        <v>9</v>
      </c>
      <c r="C9" s="954">
        <v>51</v>
      </c>
      <c r="D9" s="955">
        <v>2</v>
      </c>
      <c r="E9" s="955">
        <v>49</v>
      </c>
      <c r="F9" s="951">
        <v>498.33</v>
      </c>
      <c r="G9" s="951">
        <v>158.47</v>
      </c>
      <c r="H9" s="955">
        <v>16</v>
      </c>
      <c r="I9" s="951">
        <v>2.12</v>
      </c>
      <c r="J9" s="955">
        <v>32</v>
      </c>
      <c r="K9" s="951">
        <v>156.29</v>
      </c>
      <c r="L9" s="955">
        <v>1</v>
      </c>
      <c r="M9" s="951">
        <v>0.06</v>
      </c>
      <c r="N9" s="955">
        <v>0</v>
      </c>
      <c r="O9" s="951">
        <v>0</v>
      </c>
      <c r="P9" s="263"/>
      <c r="R9" s="132"/>
      <c r="S9" s="132"/>
      <c r="T9" s="132"/>
      <c r="U9" s="132"/>
      <c r="V9" s="132"/>
      <c r="W9" s="132"/>
    </row>
    <row r="10" spans="1:23" ht="18" customHeight="1" thickBot="1">
      <c r="A10" s="263"/>
      <c r="B10" s="915" t="s">
        <v>12</v>
      </c>
      <c r="C10" s="952">
        <v>49</v>
      </c>
      <c r="D10" s="953">
        <v>2</v>
      </c>
      <c r="E10" s="953">
        <v>47</v>
      </c>
      <c r="F10" s="917">
        <v>6176.28</v>
      </c>
      <c r="G10" s="917">
        <v>3037.51</v>
      </c>
      <c r="H10" s="953">
        <v>9</v>
      </c>
      <c r="I10" s="917">
        <v>2219.38</v>
      </c>
      <c r="J10" s="953">
        <v>38</v>
      </c>
      <c r="K10" s="917">
        <v>818.13</v>
      </c>
      <c r="L10" s="953">
        <v>0</v>
      </c>
      <c r="M10" s="917">
        <v>0</v>
      </c>
      <c r="N10" s="953">
        <v>0</v>
      </c>
      <c r="O10" s="917">
        <v>0</v>
      </c>
      <c r="P10" s="263"/>
      <c r="R10" s="132"/>
      <c r="S10" s="132"/>
      <c r="T10" s="132"/>
      <c r="U10" s="132"/>
      <c r="V10" s="132"/>
      <c r="W10" s="132"/>
    </row>
    <row r="11" spans="1:23" ht="18" customHeight="1" thickBot="1">
      <c r="A11" s="263"/>
      <c r="B11" s="945" t="s">
        <v>13</v>
      </c>
      <c r="C11" s="954">
        <v>21</v>
      </c>
      <c r="D11" s="955">
        <v>1</v>
      </c>
      <c r="E11" s="955">
        <v>20</v>
      </c>
      <c r="F11" s="951">
        <v>662.76</v>
      </c>
      <c r="G11" s="951">
        <v>286.64</v>
      </c>
      <c r="H11" s="955">
        <v>6</v>
      </c>
      <c r="I11" s="951">
        <v>41</v>
      </c>
      <c r="J11" s="955">
        <v>14</v>
      </c>
      <c r="K11" s="951">
        <v>245.64</v>
      </c>
      <c r="L11" s="955">
        <v>0</v>
      </c>
      <c r="M11" s="951">
        <v>0</v>
      </c>
      <c r="N11" s="955">
        <v>0</v>
      </c>
      <c r="O11" s="951">
        <v>0</v>
      </c>
      <c r="P11" s="263"/>
      <c r="R11" s="132"/>
      <c r="S11" s="132"/>
      <c r="T11" s="132"/>
      <c r="U11" s="132"/>
      <c r="V11" s="132"/>
      <c r="W11" s="132"/>
    </row>
    <row r="12" spans="1:23" ht="18" customHeight="1" thickBot="1">
      <c r="A12" s="263"/>
      <c r="B12" s="915" t="s">
        <v>223</v>
      </c>
      <c r="C12" s="952">
        <v>67</v>
      </c>
      <c r="D12" s="953">
        <v>0</v>
      </c>
      <c r="E12" s="953">
        <v>67</v>
      </c>
      <c r="F12" s="917">
        <v>883.05</v>
      </c>
      <c r="G12" s="917">
        <v>609.76</v>
      </c>
      <c r="H12" s="953">
        <v>27</v>
      </c>
      <c r="I12" s="917">
        <v>79.88</v>
      </c>
      <c r="J12" s="953">
        <v>38</v>
      </c>
      <c r="K12" s="917">
        <v>522.04</v>
      </c>
      <c r="L12" s="953">
        <v>2</v>
      </c>
      <c r="M12" s="917">
        <v>7.84</v>
      </c>
      <c r="N12" s="953">
        <v>0</v>
      </c>
      <c r="O12" s="917">
        <v>0</v>
      </c>
      <c r="P12" s="263"/>
      <c r="R12" s="132"/>
      <c r="S12" s="132"/>
      <c r="T12" s="132"/>
      <c r="U12" s="132"/>
      <c r="V12" s="132"/>
      <c r="W12" s="132"/>
    </row>
    <row r="13" spans="1:23" ht="18" customHeight="1" thickBot="1">
      <c r="A13" s="263"/>
      <c r="B13" s="945" t="s">
        <v>11</v>
      </c>
      <c r="C13" s="954">
        <v>10</v>
      </c>
      <c r="D13" s="955">
        <v>2</v>
      </c>
      <c r="E13" s="955">
        <v>8</v>
      </c>
      <c r="F13" s="951">
        <v>467</v>
      </c>
      <c r="G13" s="951">
        <v>310.5</v>
      </c>
      <c r="H13" s="955">
        <v>1</v>
      </c>
      <c r="I13" s="951">
        <v>70</v>
      </c>
      <c r="J13" s="955">
        <v>7</v>
      </c>
      <c r="K13" s="951">
        <v>240.5</v>
      </c>
      <c r="L13" s="955">
        <v>0</v>
      </c>
      <c r="M13" s="951">
        <v>0</v>
      </c>
      <c r="N13" s="955">
        <v>0</v>
      </c>
      <c r="O13" s="951">
        <v>0</v>
      </c>
      <c r="P13" s="263"/>
      <c r="R13" s="132"/>
      <c r="S13" s="132"/>
      <c r="T13" s="132"/>
      <c r="U13" s="132"/>
      <c r="V13" s="132"/>
      <c r="W13" s="132"/>
    </row>
    <row r="14" spans="1:23" ht="18" customHeight="1" thickBot="1">
      <c r="A14" s="263"/>
      <c r="B14" s="915" t="s">
        <v>14</v>
      </c>
      <c r="C14" s="952">
        <v>200</v>
      </c>
      <c r="D14" s="953">
        <v>0</v>
      </c>
      <c r="E14" s="953">
        <v>200</v>
      </c>
      <c r="F14" s="917">
        <v>798.22</v>
      </c>
      <c r="G14" s="917">
        <v>339.32</v>
      </c>
      <c r="H14" s="953">
        <v>62</v>
      </c>
      <c r="I14" s="917">
        <v>14.57</v>
      </c>
      <c r="J14" s="953">
        <v>55</v>
      </c>
      <c r="K14" s="917">
        <v>91.4</v>
      </c>
      <c r="L14" s="953">
        <v>28</v>
      </c>
      <c r="M14" s="917">
        <v>8.1</v>
      </c>
      <c r="N14" s="953">
        <v>55</v>
      </c>
      <c r="O14" s="917">
        <v>225.25</v>
      </c>
      <c r="P14" s="263"/>
      <c r="R14" s="132"/>
      <c r="S14" s="132"/>
      <c r="T14" s="132"/>
      <c r="U14" s="132"/>
      <c r="V14" s="132"/>
      <c r="W14" s="132"/>
    </row>
    <row r="15" spans="1:23" ht="18" customHeight="1" thickBot="1">
      <c r="A15" s="263"/>
      <c r="B15" s="945" t="s">
        <v>15</v>
      </c>
      <c r="C15" s="954">
        <v>44</v>
      </c>
      <c r="D15" s="955">
        <v>2</v>
      </c>
      <c r="E15" s="955">
        <v>42</v>
      </c>
      <c r="F15" s="951">
        <v>834.07</v>
      </c>
      <c r="G15" s="951">
        <v>469.09000000000003</v>
      </c>
      <c r="H15" s="955">
        <v>8</v>
      </c>
      <c r="I15" s="951">
        <v>122.09</v>
      </c>
      <c r="J15" s="955">
        <v>33</v>
      </c>
      <c r="K15" s="951">
        <v>341</v>
      </c>
      <c r="L15" s="955">
        <v>1</v>
      </c>
      <c r="M15" s="951">
        <v>6</v>
      </c>
      <c r="N15" s="955">
        <v>0</v>
      </c>
      <c r="O15" s="951">
        <v>0</v>
      </c>
      <c r="P15" s="263"/>
      <c r="R15" s="132"/>
      <c r="S15" s="132"/>
      <c r="T15" s="132"/>
      <c r="U15" s="132"/>
      <c r="V15" s="132"/>
      <c r="W15" s="132"/>
    </row>
    <row r="16" spans="1:23" ht="18" customHeight="1" thickBot="1">
      <c r="A16" s="263"/>
      <c r="B16" s="915" t="s">
        <v>16</v>
      </c>
      <c r="C16" s="952">
        <v>45</v>
      </c>
      <c r="D16" s="953">
        <v>0</v>
      </c>
      <c r="E16" s="953">
        <v>45</v>
      </c>
      <c r="F16" s="917">
        <v>397.75</v>
      </c>
      <c r="G16" s="917">
        <v>180.32</v>
      </c>
      <c r="H16" s="953">
        <v>12</v>
      </c>
      <c r="I16" s="917">
        <v>19.82</v>
      </c>
      <c r="J16" s="953">
        <v>28</v>
      </c>
      <c r="K16" s="917">
        <v>138.65</v>
      </c>
      <c r="L16" s="953">
        <v>5</v>
      </c>
      <c r="M16" s="917">
        <v>21.85</v>
      </c>
      <c r="N16" s="953">
        <v>0</v>
      </c>
      <c r="O16" s="917">
        <v>0</v>
      </c>
      <c r="P16" s="263"/>
      <c r="R16" s="132"/>
      <c r="S16" s="132"/>
      <c r="T16" s="132"/>
      <c r="U16" s="132"/>
      <c r="V16" s="132"/>
      <c r="W16" s="132"/>
    </row>
    <row r="17" spans="1:23" ht="18" customHeight="1" thickBot="1">
      <c r="A17" s="263"/>
      <c r="B17" s="945" t="s">
        <v>17</v>
      </c>
      <c r="C17" s="954">
        <v>8</v>
      </c>
      <c r="D17" s="955">
        <v>1</v>
      </c>
      <c r="E17" s="955">
        <v>7</v>
      </c>
      <c r="F17" s="951">
        <v>15333.15</v>
      </c>
      <c r="G17" s="951">
        <v>26.41</v>
      </c>
      <c r="H17" s="955">
        <v>0</v>
      </c>
      <c r="I17" s="951">
        <v>0</v>
      </c>
      <c r="J17" s="955">
        <v>7</v>
      </c>
      <c r="K17" s="951">
        <v>26.41</v>
      </c>
      <c r="L17" s="955">
        <v>0</v>
      </c>
      <c r="M17" s="951">
        <v>0</v>
      </c>
      <c r="N17" s="955">
        <v>0</v>
      </c>
      <c r="O17" s="951">
        <v>0</v>
      </c>
      <c r="P17" s="263"/>
      <c r="R17" s="132"/>
      <c r="S17" s="132"/>
      <c r="T17" s="132"/>
      <c r="U17" s="132"/>
      <c r="V17" s="132"/>
      <c r="W17" s="132"/>
    </row>
    <row r="18" spans="1:23" ht="18" customHeight="1" thickBot="1">
      <c r="A18" s="263"/>
      <c r="B18" s="915" t="s">
        <v>18</v>
      </c>
      <c r="C18" s="952">
        <v>47</v>
      </c>
      <c r="D18" s="953">
        <v>6</v>
      </c>
      <c r="E18" s="953">
        <v>41</v>
      </c>
      <c r="F18" s="917">
        <v>3486.62</v>
      </c>
      <c r="G18" s="917">
        <v>2995.6400000000003</v>
      </c>
      <c r="H18" s="953">
        <v>5</v>
      </c>
      <c r="I18" s="917">
        <v>1.71</v>
      </c>
      <c r="J18" s="953">
        <v>32</v>
      </c>
      <c r="K18" s="917">
        <v>2684.26</v>
      </c>
      <c r="L18" s="953">
        <v>4</v>
      </c>
      <c r="M18" s="917">
        <v>309.67</v>
      </c>
      <c r="N18" s="953">
        <v>0</v>
      </c>
      <c r="O18" s="917">
        <v>0</v>
      </c>
      <c r="P18" s="263"/>
      <c r="R18" s="132"/>
      <c r="S18" s="132"/>
      <c r="T18" s="132"/>
      <c r="U18" s="132"/>
      <c r="V18" s="132"/>
      <c r="W18" s="132"/>
    </row>
    <row r="19" spans="1:23" ht="18" customHeight="1" thickBot="1">
      <c r="A19" s="263"/>
      <c r="B19" s="945" t="s">
        <v>19</v>
      </c>
      <c r="C19" s="954">
        <v>36</v>
      </c>
      <c r="D19" s="955">
        <v>0</v>
      </c>
      <c r="E19" s="955">
        <v>36</v>
      </c>
      <c r="F19" s="951">
        <v>1511.62</v>
      </c>
      <c r="G19" s="951">
        <v>1511.6299999999999</v>
      </c>
      <c r="H19" s="955">
        <v>0</v>
      </c>
      <c r="I19" s="951">
        <v>0</v>
      </c>
      <c r="J19" s="955">
        <v>5</v>
      </c>
      <c r="K19" s="951">
        <v>80.77</v>
      </c>
      <c r="L19" s="955">
        <v>0</v>
      </c>
      <c r="M19" s="951">
        <v>0</v>
      </c>
      <c r="N19" s="955">
        <v>31</v>
      </c>
      <c r="O19" s="951">
        <v>1430.86</v>
      </c>
      <c r="P19" s="263"/>
      <c r="R19" s="132"/>
      <c r="S19" s="132"/>
      <c r="T19" s="132"/>
      <c r="U19" s="132"/>
      <c r="V19" s="132"/>
      <c r="W19" s="132"/>
    </row>
    <row r="20" spans="1:23" ht="18" customHeight="1" thickBot="1">
      <c r="A20" s="263"/>
      <c r="B20" s="915" t="s">
        <v>20</v>
      </c>
      <c r="C20" s="952">
        <v>319</v>
      </c>
      <c r="D20" s="953">
        <v>4</v>
      </c>
      <c r="E20" s="953">
        <v>315</v>
      </c>
      <c r="F20" s="917">
        <v>4835.5200000000004</v>
      </c>
      <c r="G20" s="917">
        <v>3274.4799999999996</v>
      </c>
      <c r="H20" s="953">
        <v>120</v>
      </c>
      <c r="I20" s="917">
        <v>224.95</v>
      </c>
      <c r="J20" s="953">
        <v>178</v>
      </c>
      <c r="K20" s="917">
        <v>2923.64</v>
      </c>
      <c r="L20" s="953">
        <v>14</v>
      </c>
      <c r="M20" s="917">
        <v>116.75</v>
      </c>
      <c r="N20" s="953">
        <v>3</v>
      </c>
      <c r="O20" s="917">
        <v>9.14</v>
      </c>
      <c r="P20" s="263"/>
      <c r="R20" s="132"/>
      <c r="S20" s="132"/>
      <c r="T20" s="132"/>
      <c r="U20" s="132"/>
      <c r="V20" s="132"/>
      <c r="W20" s="132"/>
    </row>
    <row r="21" spans="1:23" ht="18" customHeight="1" thickBot="1">
      <c r="A21" s="263"/>
      <c r="B21" s="945" t="s">
        <v>224</v>
      </c>
      <c r="C21" s="954">
        <v>77</v>
      </c>
      <c r="D21" s="955">
        <v>1</v>
      </c>
      <c r="E21" s="955">
        <v>76</v>
      </c>
      <c r="F21" s="951">
        <v>2832.93</v>
      </c>
      <c r="G21" s="951">
        <v>626.1</v>
      </c>
      <c r="H21" s="955">
        <v>24</v>
      </c>
      <c r="I21" s="951">
        <v>386.43</v>
      </c>
      <c r="J21" s="955">
        <v>47</v>
      </c>
      <c r="K21" s="951">
        <v>227.67</v>
      </c>
      <c r="L21" s="955">
        <v>1</v>
      </c>
      <c r="M21" s="951">
        <v>2.5</v>
      </c>
      <c r="N21" s="955">
        <v>4</v>
      </c>
      <c r="O21" s="951">
        <v>9.5</v>
      </c>
      <c r="P21" s="263"/>
      <c r="R21" s="132"/>
      <c r="S21" s="132"/>
      <c r="T21" s="132"/>
      <c r="U21" s="132"/>
      <c r="V21" s="132"/>
      <c r="W21" s="132"/>
    </row>
    <row r="22" spans="1:23" ht="18" customHeight="1" thickBot="1">
      <c r="A22" s="263"/>
      <c r="B22" s="915" t="s">
        <v>22</v>
      </c>
      <c r="C22" s="952">
        <v>87</v>
      </c>
      <c r="D22" s="953">
        <v>6</v>
      </c>
      <c r="E22" s="953">
        <v>81</v>
      </c>
      <c r="F22" s="917">
        <v>1224.1400000000001</v>
      </c>
      <c r="G22" s="917">
        <v>763.18999999999994</v>
      </c>
      <c r="H22" s="953">
        <v>5</v>
      </c>
      <c r="I22" s="917">
        <v>19.510000000000002</v>
      </c>
      <c r="J22" s="953">
        <v>16</v>
      </c>
      <c r="K22" s="917">
        <v>40.5</v>
      </c>
      <c r="L22" s="953">
        <v>0</v>
      </c>
      <c r="M22" s="917">
        <v>0</v>
      </c>
      <c r="N22" s="953">
        <v>60</v>
      </c>
      <c r="O22" s="917">
        <v>703.18</v>
      </c>
      <c r="P22" s="263"/>
      <c r="R22" s="132"/>
      <c r="S22" s="132"/>
      <c r="T22" s="132"/>
      <c r="U22" s="132"/>
      <c r="V22" s="132"/>
      <c r="W22" s="132"/>
    </row>
    <row r="23" spans="1:23" ht="18" customHeight="1" thickBot="1">
      <c r="A23" s="263"/>
      <c r="B23" s="945" t="s">
        <v>23</v>
      </c>
      <c r="C23" s="954">
        <v>4</v>
      </c>
      <c r="D23" s="955">
        <v>0</v>
      </c>
      <c r="E23" s="955">
        <v>4</v>
      </c>
      <c r="F23" s="951">
        <v>162.94999999999999</v>
      </c>
      <c r="G23" s="951">
        <v>162.95000000000002</v>
      </c>
      <c r="H23" s="955">
        <v>2</v>
      </c>
      <c r="I23" s="951">
        <v>155.58000000000001</v>
      </c>
      <c r="J23" s="955">
        <v>2</v>
      </c>
      <c r="K23" s="951">
        <v>7.37</v>
      </c>
      <c r="L23" s="955">
        <v>0</v>
      </c>
      <c r="M23" s="951">
        <v>0</v>
      </c>
      <c r="N23" s="955">
        <v>0</v>
      </c>
      <c r="O23" s="951">
        <v>0</v>
      </c>
      <c r="P23" s="263"/>
      <c r="R23" s="132"/>
      <c r="S23" s="132"/>
      <c r="T23" s="132"/>
      <c r="U23" s="132"/>
      <c r="V23" s="132"/>
      <c r="W23" s="132"/>
    </row>
    <row r="24" spans="1:23" ht="18" customHeight="1" thickBot="1">
      <c r="A24" s="263"/>
      <c r="B24" s="915" t="s">
        <v>24</v>
      </c>
      <c r="C24" s="952">
        <v>84</v>
      </c>
      <c r="D24" s="953">
        <v>0</v>
      </c>
      <c r="E24" s="953">
        <v>84</v>
      </c>
      <c r="F24" s="917">
        <v>4131.3500000000004</v>
      </c>
      <c r="G24" s="917">
        <v>2999.93</v>
      </c>
      <c r="H24" s="953">
        <v>26</v>
      </c>
      <c r="I24" s="917">
        <v>460.92</v>
      </c>
      <c r="J24" s="953">
        <v>55</v>
      </c>
      <c r="K24" s="917">
        <v>2535.81</v>
      </c>
      <c r="L24" s="953">
        <v>3</v>
      </c>
      <c r="M24" s="917">
        <v>3.2</v>
      </c>
      <c r="N24" s="953">
        <v>0</v>
      </c>
      <c r="O24" s="917">
        <v>0</v>
      </c>
      <c r="P24" s="263"/>
      <c r="R24" s="132"/>
      <c r="S24" s="132"/>
      <c r="T24" s="132"/>
      <c r="U24" s="132"/>
      <c r="V24" s="132"/>
      <c r="W24" s="132"/>
    </row>
    <row r="25" spans="1:23" ht="18" customHeight="1" thickBot="1">
      <c r="A25" s="263"/>
      <c r="B25" s="945" t="s">
        <v>25</v>
      </c>
      <c r="C25" s="954">
        <v>15</v>
      </c>
      <c r="D25" s="955">
        <v>0</v>
      </c>
      <c r="E25" s="955">
        <v>15</v>
      </c>
      <c r="F25" s="951">
        <v>1220.83</v>
      </c>
      <c r="G25" s="951">
        <v>901.33</v>
      </c>
      <c r="H25" s="955">
        <v>10</v>
      </c>
      <c r="I25" s="951">
        <v>618.61</v>
      </c>
      <c r="J25" s="955">
        <v>5</v>
      </c>
      <c r="K25" s="951">
        <v>282.72000000000003</v>
      </c>
      <c r="L25" s="955">
        <v>0</v>
      </c>
      <c r="M25" s="951">
        <v>0</v>
      </c>
      <c r="N25" s="955">
        <v>0</v>
      </c>
      <c r="O25" s="951">
        <v>0</v>
      </c>
      <c r="P25" s="263"/>
      <c r="R25" s="132"/>
      <c r="S25" s="132"/>
      <c r="T25" s="132"/>
      <c r="U25" s="132"/>
      <c r="V25" s="132"/>
      <c r="W25" s="132"/>
    </row>
    <row r="26" spans="1:23" ht="18" customHeight="1" thickBot="1">
      <c r="A26" s="263"/>
      <c r="B26" s="915" t="s">
        <v>36</v>
      </c>
      <c r="C26" s="952">
        <v>116</v>
      </c>
      <c r="D26" s="953">
        <v>0</v>
      </c>
      <c r="E26" s="953">
        <v>116</v>
      </c>
      <c r="F26" s="917">
        <v>2987.97</v>
      </c>
      <c r="G26" s="917">
        <v>2718.11</v>
      </c>
      <c r="H26" s="953">
        <v>37</v>
      </c>
      <c r="I26" s="917">
        <v>1037.56</v>
      </c>
      <c r="J26" s="953">
        <v>73</v>
      </c>
      <c r="K26" s="917">
        <v>1676.23</v>
      </c>
      <c r="L26" s="953">
        <v>4</v>
      </c>
      <c r="M26" s="917">
        <v>4.05</v>
      </c>
      <c r="N26" s="953">
        <v>2</v>
      </c>
      <c r="O26" s="917">
        <v>0.27</v>
      </c>
      <c r="P26" s="263"/>
      <c r="R26" s="132"/>
      <c r="S26" s="132"/>
      <c r="T26" s="132"/>
      <c r="U26" s="132"/>
      <c r="V26" s="132"/>
      <c r="W26" s="132"/>
    </row>
    <row r="27" spans="1:23" ht="18" customHeight="1" thickBot="1">
      <c r="A27" s="263"/>
      <c r="B27" s="945" t="s">
        <v>225</v>
      </c>
      <c r="C27" s="954">
        <v>120</v>
      </c>
      <c r="D27" s="955">
        <v>0</v>
      </c>
      <c r="E27" s="955">
        <v>120</v>
      </c>
      <c r="F27" s="951">
        <v>1193.8599999999999</v>
      </c>
      <c r="G27" s="951">
        <v>508.83000000000004</v>
      </c>
      <c r="H27" s="955">
        <v>26</v>
      </c>
      <c r="I27" s="951">
        <v>30.23</v>
      </c>
      <c r="J27" s="955">
        <v>88</v>
      </c>
      <c r="K27" s="951">
        <v>449.72</v>
      </c>
      <c r="L27" s="955">
        <v>6</v>
      </c>
      <c r="M27" s="951">
        <v>28.88</v>
      </c>
      <c r="N27" s="955">
        <v>0</v>
      </c>
      <c r="O27" s="951">
        <v>0</v>
      </c>
      <c r="P27" s="263"/>
      <c r="R27" s="132"/>
      <c r="S27" s="132"/>
      <c r="T27" s="132"/>
      <c r="U27" s="132"/>
      <c r="V27" s="132"/>
      <c r="W27" s="132"/>
    </row>
    <row r="28" spans="1:23" ht="18" customHeight="1" thickBot="1">
      <c r="A28" s="263"/>
      <c r="B28" s="915" t="s">
        <v>27</v>
      </c>
      <c r="C28" s="952">
        <v>2</v>
      </c>
      <c r="D28" s="953">
        <v>0</v>
      </c>
      <c r="E28" s="953">
        <v>2</v>
      </c>
      <c r="F28" s="917">
        <v>10.5</v>
      </c>
      <c r="G28" s="917">
        <v>5</v>
      </c>
      <c r="H28" s="953">
        <v>0</v>
      </c>
      <c r="I28" s="917">
        <v>0</v>
      </c>
      <c r="J28" s="953">
        <v>2</v>
      </c>
      <c r="K28" s="917">
        <v>5</v>
      </c>
      <c r="L28" s="953">
        <v>0</v>
      </c>
      <c r="M28" s="917">
        <v>0</v>
      </c>
      <c r="N28" s="953">
        <v>0</v>
      </c>
      <c r="O28" s="917">
        <v>0</v>
      </c>
      <c r="P28" s="263"/>
      <c r="R28" s="132"/>
      <c r="S28" s="132"/>
      <c r="T28" s="132"/>
      <c r="U28" s="132"/>
      <c r="V28" s="132"/>
      <c r="W28" s="132"/>
    </row>
    <row r="29" spans="1:23" ht="18" customHeight="1" thickBot="1">
      <c r="A29" s="263"/>
      <c r="B29" s="945" t="s">
        <v>28</v>
      </c>
      <c r="C29" s="954">
        <v>84</v>
      </c>
      <c r="D29" s="955">
        <v>3</v>
      </c>
      <c r="E29" s="955">
        <v>81</v>
      </c>
      <c r="F29" s="951">
        <v>1331.24</v>
      </c>
      <c r="G29" s="951">
        <v>1183.5</v>
      </c>
      <c r="H29" s="955">
        <v>41</v>
      </c>
      <c r="I29" s="951">
        <v>917.4</v>
      </c>
      <c r="J29" s="955">
        <v>33</v>
      </c>
      <c r="K29" s="951">
        <v>214.29</v>
      </c>
      <c r="L29" s="955">
        <v>7</v>
      </c>
      <c r="M29" s="951">
        <v>51.81</v>
      </c>
      <c r="N29" s="955">
        <v>0</v>
      </c>
      <c r="O29" s="951">
        <v>0</v>
      </c>
      <c r="P29" s="263"/>
      <c r="R29" s="132"/>
      <c r="S29" s="132"/>
      <c r="T29" s="132"/>
      <c r="U29" s="132"/>
      <c r="V29" s="132"/>
      <c r="W29" s="132"/>
    </row>
    <row r="30" spans="1:23" ht="18" customHeight="1" thickBot="1">
      <c r="A30" s="263"/>
      <c r="B30" s="915" t="s">
        <v>29</v>
      </c>
      <c r="C30" s="952">
        <v>92</v>
      </c>
      <c r="D30" s="953">
        <v>3</v>
      </c>
      <c r="E30" s="953">
        <v>89</v>
      </c>
      <c r="F30" s="917">
        <v>3207.5</v>
      </c>
      <c r="G30" s="917">
        <v>799.90000000000009</v>
      </c>
      <c r="H30" s="953">
        <v>17</v>
      </c>
      <c r="I30" s="917">
        <v>498.54</v>
      </c>
      <c r="J30" s="953">
        <v>72</v>
      </c>
      <c r="K30" s="917">
        <v>301.36</v>
      </c>
      <c r="L30" s="953">
        <v>0</v>
      </c>
      <c r="M30" s="917">
        <v>0</v>
      </c>
      <c r="N30" s="953">
        <v>0</v>
      </c>
      <c r="O30" s="917">
        <v>0</v>
      </c>
      <c r="P30" s="263"/>
      <c r="R30" s="132"/>
      <c r="S30" s="132"/>
      <c r="T30" s="132"/>
      <c r="U30" s="132"/>
      <c r="V30" s="132"/>
      <c r="W30" s="132"/>
    </row>
    <row r="31" spans="1:23" ht="18" customHeight="1" thickBot="1">
      <c r="A31" s="263"/>
      <c r="B31" s="945" t="s">
        <v>37</v>
      </c>
      <c r="C31" s="954">
        <v>25</v>
      </c>
      <c r="D31" s="955">
        <v>0</v>
      </c>
      <c r="E31" s="955">
        <v>25</v>
      </c>
      <c r="F31" s="951">
        <v>423.85</v>
      </c>
      <c r="G31" s="951">
        <v>221.64999999999998</v>
      </c>
      <c r="H31" s="955">
        <v>13</v>
      </c>
      <c r="I31" s="951">
        <v>65.7</v>
      </c>
      <c r="J31" s="955">
        <v>12</v>
      </c>
      <c r="K31" s="951">
        <v>155.94999999999999</v>
      </c>
      <c r="L31" s="955">
        <v>0</v>
      </c>
      <c r="M31" s="951">
        <v>0</v>
      </c>
      <c r="N31" s="955">
        <v>0</v>
      </c>
      <c r="O31" s="951">
        <v>0</v>
      </c>
      <c r="P31" s="263"/>
      <c r="R31" s="132"/>
      <c r="S31" s="132"/>
      <c r="T31" s="132"/>
      <c r="U31" s="132"/>
      <c r="V31" s="132"/>
      <c r="W31" s="132"/>
    </row>
    <row r="32" spans="1:23" ht="18" customHeight="1" thickBot="1">
      <c r="A32" s="263"/>
      <c r="B32" s="915" t="s">
        <v>30</v>
      </c>
      <c r="C32" s="952">
        <v>124</v>
      </c>
      <c r="D32" s="953">
        <v>0</v>
      </c>
      <c r="E32" s="953">
        <v>124</v>
      </c>
      <c r="F32" s="917">
        <v>1054.68</v>
      </c>
      <c r="G32" s="917">
        <v>643.88</v>
      </c>
      <c r="H32" s="953">
        <v>99</v>
      </c>
      <c r="I32" s="917">
        <v>159.09</v>
      </c>
      <c r="J32" s="953">
        <v>10</v>
      </c>
      <c r="K32" s="917">
        <v>401.62</v>
      </c>
      <c r="L32" s="953">
        <v>3</v>
      </c>
      <c r="M32" s="917">
        <v>54.68</v>
      </c>
      <c r="N32" s="953">
        <v>12</v>
      </c>
      <c r="O32" s="917">
        <v>28.49</v>
      </c>
      <c r="P32" s="263"/>
      <c r="R32" s="132"/>
      <c r="S32" s="132"/>
      <c r="T32" s="132"/>
      <c r="U32" s="132"/>
      <c r="V32" s="132"/>
      <c r="W32" s="132"/>
    </row>
    <row r="33" spans="1:23" ht="18" customHeight="1" thickBot="1">
      <c r="A33" s="263"/>
      <c r="B33" s="945" t="s">
        <v>31</v>
      </c>
      <c r="C33" s="954">
        <v>54</v>
      </c>
      <c r="D33" s="955">
        <v>2</v>
      </c>
      <c r="E33" s="955">
        <v>52</v>
      </c>
      <c r="F33" s="951">
        <v>3941.67</v>
      </c>
      <c r="G33" s="951">
        <v>2840.97</v>
      </c>
      <c r="H33" s="955">
        <v>21</v>
      </c>
      <c r="I33" s="951">
        <v>1461.57</v>
      </c>
      <c r="J33" s="955">
        <v>28</v>
      </c>
      <c r="K33" s="951">
        <v>1121.24</v>
      </c>
      <c r="L33" s="955">
        <v>3</v>
      </c>
      <c r="M33" s="951">
        <v>258.16000000000003</v>
      </c>
      <c r="N33" s="955">
        <v>0</v>
      </c>
      <c r="O33" s="951">
        <v>0</v>
      </c>
      <c r="P33" s="263"/>
      <c r="R33" s="132"/>
      <c r="S33" s="132"/>
      <c r="T33" s="132"/>
      <c r="U33" s="132"/>
      <c r="V33" s="132"/>
      <c r="W33" s="132"/>
    </row>
    <row r="34" spans="1:23" ht="18" customHeight="1" thickBot="1">
      <c r="A34" s="263"/>
      <c r="B34" s="915" t="s">
        <v>32</v>
      </c>
      <c r="C34" s="952">
        <v>111</v>
      </c>
      <c r="D34" s="953">
        <v>3</v>
      </c>
      <c r="E34" s="953">
        <v>108</v>
      </c>
      <c r="F34" s="917">
        <v>226.19</v>
      </c>
      <c r="G34" s="917">
        <v>196.12</v>
      </c>
      <c r="H34" s="953">
        <v>39</v>
      </c>
      <c r="I34" s="917">
        <v>53.77</v>
      </c>
      <c r="J34" s="953">
        <v>60</v>
      </c>
      <c r="K34" s="917">
        <v>137.86000000000001</v>
      </c>
      <c r="L34" s="953">
        <v>2</v>
      </c>
      <c r="M34" s="917">
        <v>3.57</v>
      </c>
      <c r="N34" s="953">
        <v>7</v>
      </c>
      <c r="O34" s="917">
        <v>0.92</v>
      </c>
      <c r="P34" s="263"/>
      <c r="R34" s="132"/>
      <c r="S34" s="132"/>
      <c r="T34" s="132"/>
      <c r="U34" s="132"/>
      <c r="V34" s="132"/>
      <c r="W34" s="132"/>
    </row>
    <row r="35" spans="1:23" ht="18" customHeight="1" thickBot="1">
      <c r="A35" s="263"/>
      <c r="B35" s="945" t="s">
        <v>262</v>
      </c>
      <c r="C35" s="954">
        <v>169</v>
      </c>
      <c r="D35" s="955">
        <v>3</v>
      </c>
      <c r="E35" s="955">
        <v>166</v>
      </c>
      <c r="F35" s="951">
        <v>11620.94</v>
      </c>
      <c r="G35" s="951">
        <v>8685.68</v>
      </c>
      <c r="H35" s="955">
        <v>64</v>
      </c>
      <c r="I35" s="951">
        <v>5944.64</v>
      </c>
      <c r="J35" s="955">
        <v>99</v>
      </c>
      <c r="K35" s="951">
        <v>2376.2399999999998</v>
      </c>
      <c r="L35" s="955">
        <v>3</v>
      </c>
      <c r="M35" s="951">
        <v>364.8</v>
      </c>
      <c r="N35" s="955">
        <v>0</v>
      </c>
      <c r="O35" s="951">
        <v>0</v>
      </c>
      <c r="P35" s="263"/>
      <c r="R35" s="132"/>
      <c r="S35" s="132"/>
      <c r="T35" s="132"/>
      <c r="U35" s="132"/>
      <c r="V35" s="132"/>
      <c r="W35" s="132"/>
    </row>
    <row r="36" spans="1:23" ht="18" customHeight="1" thickBot="1">
      <c r="A36" s="263"/>
      <c r="B36" s="915" t="s">
        <v>34</v>
      </c>
      <c r="C36" s="952">
        <v>57</v>
      </c>
      <c r="D36" s="953">
        <v>21</v>
      </c>
      <c r="E36" s="953">
        <v>36</v>
      </c>
      <c r="F36" s="917">
        <v>114.08</v>
      </c>
      <c r="G36" s="917">
        <v>70.75</v>
      </c>
      <c r="H36" s="953">
        <v>5</v>
      </c>
      <c r="I36" s="917">
        <v>21</v>
      </c>
      <c r="J36" s="953">
        <v>31</v>
      </c>
      <c r="K36" s="917">
        <v>49.75</v>
      </c>
      <c r="L36" s="953">
        <v>0</v>
      </c>
      <c r="M36" s="917">
        <v>0</v>
      </c>
      <c r="N36" s="953">
        <v>0</v>
      </c>
      <c r="O36" s="917">
        <v>0</v>
      </c>
      <c r="P36" s="263"/>
      <c r="R36" s="132"/>
      <c r="S36" s="132"/>
      <c r="T36" s="132"/>
      <c r="U36" s="132"/>
      <c r="V36" s="132"/>
      <c r="W36" s="132"/>
    </row>
    <row r="37" spans="1:23" ht="18" customHeight="1" thickBot="1">
      <c r="A37" s="263"/>
      <c r="B37" s="945" t="s">
        <v>35</v>
      </c>
      <c r="C37" s="954">
        <v>10</v>
      </c>
      <c r="D37" s="955">
        <v>1</v>
      </c>
      <c r="E37" s="955">
        <v>9</v>
      </c>
      <c r="F37" s="951">
        <v>155.80000000000001</v>
      </c>
      <c r="G37" s="951">
        <v>44.36</v>
      </c>
      <c r="H37" s="955">
        <v>0</v>
      </c>
      <c r="I37" s="951">
        <v>0</v>
      </c>
      <c r="J37" s="955">
        <v>9</v>
      </c>
      <c r="K37" s="951">
        <v>44.36</v>
      </c>
      <c r="L37" s="955">
        <v>0</v>
      </c>
      <c r="M37" s="951">
        <v>0</v>
      </c>
      <c r="N37" s="955">
        <v>0</v>
      </c>
      <c r="O37" s="951">
        <v>0</v>
      </c>
      <c r="P37" s="263"/>
      <c r="R37" s="132"/>
      <c r="S37" s="132"/>
      <c r="T37" s="132"/>
      <c r="U37" s="132"/>
      <c r="V37" s="132"/>
      <c r="W37" s="132"/>
    </row>
    <row r="38" spans="1:23" ht="18" customHeight="1" thickBot="1">
      <c r="A38" s="263"/>
      <c r="B38" s="932" t="s">
        <v>52</v>
      </c>
      <c r="C38" s="943">
        <v>2256</v>
      </c>
      <c r="D38" s="943">
        <v>70</v>
      </c>
      <c r="E38" s="943">
        <v>2186</v>
      </c>
      <c r="F38" s="934">
        <v>72468.56</v>
      </c>
      <c r="G38" s="934">
        <v>36700.010000000009</v>
      </c>
      <c r="H38" s="943">
        <v>731</v>
      </c>
      <c r="I38" s="934">
        <v>14635.849999999999</v>
      </c>
      <c r="J38" s="943">
        <v>1193</v>
      </c>
      <c r="K38" s="934">
        <v>18394.630000000005</v>
      </c>
      <c r="L38" s="943">
        <v>88</v>
      </c>
      <c r="M38" s="934">
        <v>1261.92</v>
      </c>
      <c r="N38" s="943">
        <v>174</v>
      </c>
      <c r="O38" s="934">
        <v>2407.6099999999997</v>
      </c>
      <c r="P38" s="263"/>
      <c r="R38" s="132"/>
      <c r="S38" s="132"/>
      <c r="T38" s="132"/>
      <c r="U38" s="132"/>
      <c r="V38" s="132"/>
      <c r="W38" s="132"/>
    </row>
    <row r="39" spans="1:23" ht="13.5">
      <c r="A39" s="263"/>
      <c r="B39" s="873" t="s">
        <v>348</v>
      </c>
      <c r="C39" s="338"/>
      <c r="D39" s="338"/>
      <c r="E39" s="338"/>
      <c r="F39" s="338"/>
      <c r="G39" s="338"/>
      <c r="H39" s="338"/>
      <c r="I39" s="338"/>
      <c r="J39" s="287"/>
      <c r="K39" s="287"/>
      <c r="L39" s="287"/>
      <c r="M39" s="287"/>
      <c r="N39" s="287"/>
      <c r="O39" s="287"/>
      <c r="P39" s="263"/>
      <c r="R39" s="190"/>
      <c r="S39" s="190"/>
      <c r="T39" s="190"/>
      <c r="U39" s="190"/>
      <c r="V39" s="7"/>
      <c r="W39" s="42"/>
    </row>
    <row r="40" spans="1:23" ht="13.5">
      <c r="A40" s="263"/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35"/>
      <c r="M40" s="335"/>
      <c r="N40" s="335"/>
      <c r="O40" s="335"/>
      <c r="P40" s="263"/>
      <c r="R40" s="189"/>
      <c r="S40" s="189"/>
      <c r="T40" s="189"/>
      <c r="U40" s="189"/>
      <c r="V40" s="7"/>
    </row>
    <row r="41" spans="1:23" ht="13.5">
      <c r="A41" s="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R41" s="10"/>
      <c r="S41" s="10"/>
      <c r="T41" s="10"/>
      <c r="U41" s="10"/>
      <c r="V41" s="7"/>
    </row>
    <row r="45" spans="1:23">
      <c r="R45" s="27">
        <v>0</v>
      </c>
    </row>
    <row r="46" spans="1:23">
      <c r="B46" s="242"/>
    </row>
  </sheetData>
  <sheetProtection password="CF4C" sheet="1" objects="1" scenarios="1"/>
  <customSheetViews>
    <customSheetView guid="{E9B43C8C-734F-433D-AD37-344F9303B5CC}" scale="85" showPageBreaks="1" showGridLines="0" showRuler="0" topLeftCell="C12">
      <pane xSplit="8.464788732394366" ySplit="11.952380952380953" topLeftCell="I32"/>
      <selection activeCell="I12" sqref="I12"/>
      <pageMargins left="0.19685039370078741" right="0.19685039370078741" top="0.78740157480314965" bottom="0.59055118110236227" header="0" footer="0.39370078740157483"/>
      <printOptions horizontalCentered="1"/>
      <pageSetup scale="70" orientation="landscape" r:id="rId1"/>
      <headerFooter alignWithMargins="0"/>
    </customSheetView>
    <customSheetView guid="{9BF398E0-33D8-4E64-94A2-9B7C822C8383}" scale="85" showPageBreaks="1" showGridLines="0" printArea="1" showRuler="0">
      <pane xSplit="7" ySplit="14" topLeftCell="I29" activePane="bottomRight"/>
      <selection pane="bottomRight" activeCell="K35" sqref="K35"/>
      <pageMargins left="0.19685039370078741" right="0.19685039370078741" top="0.78740157480314965" bottom="0.59055118110236227" header="0" footer="0.39370078740157483"/>
      <printOptions horizontalCentered="1"/>
      <pageSetup scale="70" orientation="landscape" r:id="rId2"/>
      <headerFooter alignWithMargins="0"/>
    </customSheetView>
    <customSheetView guid="{9E220BD5-A526-40BD-8239-3A0461590922}" scale="85" showPageBreaks="1" showGridLines="0" showRuler="0">
      <selection activeCell="F40" sqref="F40"/>
      <pageMargins left="0.19685039370078741" right="0.19685039370078741" top="0.78740157480314965" bottom="0.59055118110236227" header="0" footer="0.39370078740157483"/>
      <printOptions horizontalCentered="1"/>
      <pageSetup scale="70" orientation="landscape" r:id="rId3"/>
      <headerFooter alignWithMargins="0"/>
    </customSheetView>
  </customSheetViews>
  <mergeCells count="7">
    <mergeCell ref="B2:O2"/>
    <mergeCell ref="G4:G5"/>
    <mergeCell ref="C4:C5"/>
    <mergeCell ref="B3:B5"/>
    <mergeCell ref="D4:D5"/>
    <mergeCell ref="E4:E5"/>
    <mergeCell ref="F4:F5"/>
  </mergeCells>
  <phoneticPr fontId="9" type="noConversion"/>
  <printOptions horizontalCentered="1"/>
  <pageMargins left="0.19685039370078741" right="0.19685039370078741" top="0.78740157480314965" bottom="0.59055118110236227" header="0" footer="0.39370078740157483"/>
  <pageSetup scale="72" orientation="landscape" r:id="rId4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Zeros="0" topLeftCell="A10" workbookViewId="0">
      <selection activeCell="Q11" sqref="Q11"/>
    </sheetView>
  </sheetViews>
  <sheetFormatPr baseColWidth="10" defaultRowHeight="12.75"/>
  <cols>
    <col min="1" max="1" width="1.7109375" customWidth="1"/>
    <col min="2" max="2" width="22.5703125" customWidth="1"/>
    <col min="3" max="3" width="9.42578125" customWidth="1"/>
    <col min="4" max="4" width="8.7109375" customWidth="1"/>
    <col min="5" max="5" width="10.28515625" bestFit="1" customWidth="1"/>
    <col min="6" max="6" width="9.85546875" bestFit="1" customWidth="1"/>
    <col min="7" max="7" width="10.7109375" customWidth="1"/>
    <col min="8" max="8" width="7.42578125" customWidth="1"/>
    <col min="9" max="9" width="10.7109375" customWidth="1"/>
    <col min="10" max="10" width="9.140625" customWidth="1"/>
    <col min="11" max="11" width="10.7109375" customWidth="1"/>
    <col min="12" max="12" width="7" customWidth="1"/>
    <col min="13" max="13" width="10.7109375" customWidth="1"/>
    <col min="14" max="14" width="8.140625" customWidth="1"/>
    <col min="15" max="15" width="10.7109375" customWidth="1"/>
    <col min="16" max="16" width="1.7109375" customWidth="1"/>
  </cols>
  <sheetData>
    <row r="1" spans="1:16" ht="12" customHeight="1">
      <c r="A1" s="319"/>
      <c r="B1" s="320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2"/>
    </row>
    <row r="2" spans="1:16" ht="16.5" thickBot="1">
      <c r="A2" s="323"/>
      <c r="B2" s="1383" t="s">
        <v>269</v>
      </c>
      <c r="C2" s="1383"/>
      <c r="D2" s="1383"/>
      <c r="E2" s="1383"/>
      <c r="F2" s="1383"/>
      <c r="G2" s="1383"/>
      <c r="H2" s="1383"/>
      <c r="I2" s="1383"/>
      <c r="J2" s="1383"/>
      <c r="K2" s="1383"/>
      <c r="L2" s="1383"/>
      <c r="M2" s="1383"/>
      <c r="N2" s="1383"/>
      <c r="O2" s="1383"/>
      <c r="P2" s="263"/>
    </row>
    <row r="3" spans="1:16" ht="14.25" customHeight="1" thickBot="1">
      <c r="A3" s="263"/>
      <c r="B3" s="1384" t="s">
        <v>230</v>
      </c>
      <c r="C3" s="340" t="s">
        <v>192</v>
      </c>
      <c r="D3" s="340"/>
      <c r="E3" s="340"/>
      <c r="F3" s="340" t="s">
        <v>349</v>
      </c>
      <c r="G3" s="340"/>
      <c r="H3" s="340" t="s">
        <v>350</v>
      </c>
      <c r="I3" s="340"/>
      <c r="J3" s="340"/>
      <c r="K3" s="340"/>
      <c r="L3" s="340"/>
      <c r="M3" s="340"/>
      <c r="N3" s="340"/>
      <c r="O3" s="340"/>
      <c r="P3" s="263"/>
    </row>
    <row r="4" spans="1:16" ht="13.5" customHeight="1" thickBot="1">
      <c r="A4" s="263"/>
      <c r="B4" s="1384"/>
      <c r="C4" s="1384" t="s">
        <v>322</v>
      </c>
      <c r="D4" s="1384" t="s">
        <v>351</v>
      </c>
      <c r="E4" s="1384" t="s">
        <v>305</v>
      </c>
      <c r="F4" s="1384" t="s">
        <v>352</v>
      </c>
      <c r="G4" s="1384" t="s">
        <v>353</v>
      </c>
      <c r="H4" s="340" t="s">
        <v>341</v>
      </c>
      <c r="I4" s="340"/>
      <c r="J4" s="340" t="s">
        <v>354</v>
      </c>
      <c r="K4" s="340"/>
      <c r="L4" s="340" t="s">
        <v>355</v>
      </c>
      <c r="M4" s="340"/>
      <c r="N4" s="340" t="s">
        <v>356</v>
      </c>
      <c r="O4" s="340"/>
      <c r="P4" s="263"/>
    </row>
    <row r="5" spans="1:16" ht="24.75" thickBot="1">
      <c r="A5" s="263"/>
      <c r="B5" s="1384"/>
      <c r="C5" s="1384"/>
      <c r="D5" s="1384"/>
      <c r="E5" s="1384"/>
      <c r="F5" s="1384"/>
      <c r="G5" s="1384"/>
      <c r="H5" s="411" t="s">
        <v>80</v>
      </c>
      <c r="I5" s="411" t="s">
        <v>124</v>
      </c>
      <c r="J5" s="411" t="s">
        <v>80</v>
      </c>
      <c r="K5" s="411" t="s">
        <v>124</v>
      </c>
      <c r="L5" s="411" t="s">
        <v>80</v>
      </c>
      <c r="M5" s="411" t="s">
        <v>124</v>
      </c>
      <c r="N5" s="411" t="s">
        <v>80</v>
      </c>
      <c r="O5" s="411" t="s">
        <v>124</v>
      </c>
      <c r="P5" s="263"/>
    </row>
    <row r="6" spans="1:16" ht="13.5" customHeight="1" thickBot="1">
      <c r="A6" s="263"/>
      <c r="B6" s="497" t="s">
        <v>6</v>
      </c>
      <c r="C6" s="502">
        <v>46</v>
      </c>
      <c r="D6" s="502">
        <v>4</v>
      </c>
      <c r="E6" s="502">
        <v>42</v>
      </c>
      <c r="F6" s="502">
        <v>203.79</v>
      </c>
      <c r="G6" s="502">
        <v>101.73</v>
      </c>
      <c r="H6" s="502">
        <v>6</v>
      </c>
      <c r="I6" s="502">
        <v>1.49</v>
      </c>
      <c r="J6" s="502">
        <v>36</v>
      </c>
      <c r="K6" s="502">
        <v>100.24</v>
      </c>
      <c r="L6" s="502"/>
      <c r="M6" s="502"/>
      <c r="N6" s="502"/>
      <c r="O6" s="502"/>
      <c r="P6" s="263"/>
    </row>
    <row r="7" spans="1:16" ht="12.75" customHeight="1" thickBot="1">
      <c r="A7" s="263"/>
      <c r="B7" s="498" t="s">
        <v>7</v>
      </c>
      <c r="C7" s="501">
        <v>187</v>
      </c>
      <c r="D7" s="501">
        <v>1</v>
      </c>
      <c r="E7" s="501">
        <v>186</v>
      </c>
      <c r="F7" s="501">
        <v>452.8</v>
      </c>
      <c r="G7" s="501">
        <v>161.41</v>
      </c>
      <c r="H7" s="501">
        <v>128</v>
      </c>
      <c r="I7" s="501">
        <v>73.75</v>
      </c>
      <c r="J7" s="501">
        <v>58</v>
      </c>
      <c r="K7" s="501">
        <v>87.66</v>
      </c>
      <c r="L7" s="501"/>
      <c r="M7" s="501"/>
      <c r="N7" s="501"/>
      <c r="O7" s="501"/>
      <c r="P7" s="263"/>
    </row>
    <row r="8" spans="1:16" ht="14.25" customHeight="1" thickBot="1">
      <c r="A8" s="263"/>
      <c r="B8" s="497" t="s">
        <v>8</v>
      </c>
      <c r="C8" s="502">
        <v>10</v>
      </c>
      <c r="D8" s="502">
        <v>3</v>
      </c>
      <c r="E8" s="502">
        <v>7</v>
      </c>
      <c r="F8" s="502">
        <v>8.15</v>
      </c>
      <c r="G8" s="502">
        <v>8.15</v>
      </c>
      <c r="H8" s="502">
        <v>1</v>
      </c>
      <c r="I8" s="502">
        <v>0.76</v>
      </c>
      <c r="J8" s="502">
        <v>6</v>
      </c>
      <c r="K8" s="502">
        <v>7.39</v>
      </c>
      <c r="L8" s="502"/>
      <c r="M8" s="502"/>
      <c r="N8" s="502"/>
      <c r="O8" s="502"/>
      <c r="P8" s="263"/>
    </row>
    <row r="9" spans="1:16" ht="13.5" thickBot="1">
      <c r="A9" s="263"/>
      <c r="B9" s="498" t="s">
        <v>9</v>
      </c>
      <c r="C9" s="501">
        <v>33</v>
      </c>
      <c r="D9" s="501">
        <v>2</v>
      </c>
      <c r="E9" s="501">
        <v>31</v>
      </c>
      <c r="F9" s="501">
        <v>77.010000000000005</v>
      </c>
      <c r="G9" s="501">
        <v>56.26</v>
      </c>
      <c r="H9" s="501">
        <v>3</v>
      </c>
      <c r="I9" s="501">
        <v>0.47</v>
      </c>
      <c r="J9" s="501">
        <v>25</v>
      </c>
      <c r="K9" s="501">
        <v>36.799999999999997</v>
      </c>
      <c r="L9" s="501">
        <v>3</v>
      </c>
      <c r="M9" s="501">
        <v>19.010000000000002</v>
      </c>
      <c r="N9" s="501"/>
      <c r="O9" s="501"/>
      <c r="P9" s="263"/>
    </row>
    <row r="10" spans="1:16" ht="13.5" thickBot="1">
      <c r="A10" s="263"/>
      <c r="B10" s="497" t="s">
        <v>12</v>
      </c>
      <c r="C10" s="502">
        <v>19</v>
      </c>
      <c r="D10" s="502">
        <v>1</v>
      </c>
      <c r="E10" s="502">
        <v>18</v>
      </c>
      <c r="F10" s="502">
        <v>687.69</v>
      </c>
      <c r="G10" s="502">
        <v>687.1</v>
      </c>
      <c r="H10" s="502">
        <v>3</v>
      </c>
      <c r="I10" s="502">
        <v>544.49</v>
      </c>
      <c r="J10" s="502">
        <v>15</v>
      </c>
      <c r="K10" s="502">
        <v>142.61000000000001</v>
      </c>
      <c r="L10" s="502"/>
      <c r="M10" s="502"/>
      <c r="N10" s="502"/>
      <c r="O10" s="502"/>
      <c r="P10" s="263"/>
    </row>
    <row r="11" spans="1:16" ht="13.5" thickBot="1">
      <c r="A11" s="263"/>
      <c r="B11" s="498" t="s">
        <v>13</v>
      </c>
      <c r="C11" s="501">
        <v>21</v>
      </c>
      <c r="D11" s="501">
        <v>1</v>
      </c>
      <c r="E11" s="501">
        <v>20</v>
      </c>
      <c r="F11" s="501">
        <v>662.76</v>
      </c>
      <c r="G11" s="501">
        <v>286.64</v>
      </c>
      <c r="H11" s="501">
        <v>3</v>
      </c>
      <c r="I11" s="501">
        <v>12</v>
      </c>
      <c r="J11" s="501">
        <v>17</v>
      </c>
      <c r="K11" s="501">
        <v>274.64</v>
      </c>
      <c r="L11" s="501"/>
      <c r="M11" s="501"/>
      <c r="N11" s="501"/>
      <c r="O11" s="501"/>
      <c r="P11" s="263"/>
    </row>
    <row r="12" spans="1:16" ht="14.25" customHeight="1" thickBot="1">
      <c r="A12" s="263"/>
      <c r="B12" s="497" t="s">
        <v>223</v>
      </c>
      <c r="C12" s="502">
        <v>65</v>
      </c>
      <c r="D12" s="502">
        <v>1</v>
      </c>
      <c r="E12" s="502">
        <v>64</v>
      </c>
      <c r="F12" s="502">
        <v>861.06</v>
      </c>
      <c r="G12" s="502">
        <v>589.11</v>
      </c>
      <c r="H12" s="502">
        <v>24</v>
      </c>
      <c r="I12" s="502">
        <v>53.23</v>
      </c>
      <c r="J12" s="502">
        <v>36</v>
      </c>
      <c r="K12" s="502">
        <v>517.6</v>
      </c>
      <c r="L12" s="502">
        <v>4</v>
      </c>
      <c r="M12" s="502">
        <v>18.28</v>
      </c>
      <c r="N12" s="502"/>
      <c r="O12" s="502"/>
      <c r="P12" s="263"/>
    </row>
    <row r="13" spans="1:16" ht="13.5" thickBot="1">
      <c r="A13" s="263"/>
      <c r="B13" s="498" t="s">
        <v>11</v>
      </c>
      <c r="C13" s="501">
        <v>10</v>
      </c>
      <c r="D13" s="501">
        <v>2</v>
      </c>
      <c r="E13" s="501">
        <v>8</v>
      </c>
      <c r="F13" s="501">
        <v>467</v>
      </c>
      <c r="G13" s="501">
        <v>310.5</v>
      </c>
      <c r="H13" s="501">
        <v>4</v>
      </c>
      <c r="I13" s="501">
        <v>305</v>
      </c>
      <c r="J13" s="501">
        <v>4</v>
      </c>
      <c r="K13" s="501">
        <v>5.5</v>
      </c>
      <c r="L13" s="501"/>
      <c r="M13" s="501"/>
      <c r="N13" s="501"/>
      <c r="O13" s="501"/>
      <c r="P13" s="263"/>
    </row>
    <row r="14" spans="1:16" ht="14.25" customHeight="1" thickBot="1">
      <c r="A14" s="263"/>
      <c r="B14" s="497" t="s">
        <v>14</v>
      </c>
      <c r="C14" s="502">
        <v>15</v>
      </c>
      <c r="D14" s="502"/>
      <c r="E14" s="502">
        <v>15</v>
      </c>
      <c r="F14" s="502">
        <v>41.7</v>
      </c>
      <c r="G14" s="502">
        <v>40.299999999999997</v>
      </c>
      <c r="H14" s="502">
        <v>3</v>
      </c>
      <c r="I14" s="502">
        <v>8.18</v>
      </c>
      <c r="J14" s="502">
        <v>11</v>
      </c>
      <c r="K14" s="502">
        <v>30.72</v>
      </c>
      <c r="L14" s="502">
        <v>1</v>
      </c>
      <c r="M14" s="502">
        <v>1.4</v>
      </c>
      <c r="N14" s="502"/>
      <c r="O14" s="502"/>
      <c r="P14" s="263"/>
    </row>
    <row r="15" spans="1:16" ht="13.5" thickBot="1">
      <c r="A15" s="263"/>
      <c r="B15" s="498" t="s">
        <v>15</v>
      </c>
      <c r="C15" s="501">
        <v>38</v>
      </c>
      <c r="D15" s="501">
        <v>1</v>
      </c>
      <c r="E15" s="501">
        <v>37</v>
      </c>
      <c r="F15" s="501">
        <v>755.19</v>
      </c>
      <c r="G15" s="501">
        <v>453.03</v>
      </c>
      <c r="H15" s="501">
        <v>7</v>
      </c>
      <c r="I15" s="501">
        <v>121.97</v>
      </c>
      <c r="J15" s="501">
        <v>25</v>
      </c>
      <c r="K15" s="501">
        <v>196.56</v>
      </c>
      <c r="L15" s="501">
        <v>5</v>
      </c>
      <c r="M15" s="501">
        <v>134.5</v>
      </c>
      <c r="N15" s="501"/>
      <c r="O15" s="501"/>
      <c r="P15" s="263"/>
    </row>
    <row r="16" spans="1:16" ht="13.5" thickBot="1">
      <c r="A16" s="263"/>
      <c r="B16" s="497" t="s">
        <v>16</v>
      </c>
      <c r="C16" s="502">
        <v>45</v>
      </c>
      <c r="D16" s="502"/>
      <c r="E16" s="502">
        <v>45</v>
      </c>
      <c r="F16" s="502">
        <v>397.75</v>
      </c>
      <c r="G16" s="502">
        <v>180.31</v>
      </c>
      <c r="H16" s="502">
        <v>12</v>
      </c>
      <c r="I16" s="502">
        <v>19.82</v>
      </c>
      <c r="J16" s="502">
        <v>28</v>
      </c>
      <c r="K16" s="502">
        <v>138.65</v>
      </c>
      <c r="L16" s="502">
        <v>5</v>
      </c>
      <c r="M16" s="502">
        <v>21.85</v>
      </c>
      <c r="N16" s="502"/>
      <c r="O16" s="502"/>
      <c r="P16" s="263"/>
    </row>
    <row r="17" spans="1:16" ht="13.5" thickBot="1">
      <c r="A17" s="263"/>
      <c r="B17" s="498" t="s">
        <v>17</v>
      </c>
      <c r="C17" s="501">
        <v>8</v>
      </c>
      <c r="D17" s="501">
        <v>1</v>
      </c>
      <c r="E17" s="501">
        <v>7</v>
      </c>
      <c r="F17" s="501">
        <v>47.15</v>
      </c>
      <c r="G17" s="501">
        <v>37.35</v>
      </c>
      <c r="H17" s="501"/>
      <c r="I17" s="501"/>
      <c r="J17" s="501">
        <v>7</v>
      </c>
      <c r="K17" s="501">
        <v>37.35</v>
      </c>
      <c r="L17" s="501"/>
      <c r="M17" s="501"/>
      <c r="N17" s="501"/>
      <c r="O17" s="501"/>
      <c r="P17" s="263"/>
    </row>
    <row r="18" spans="1:16" ht="13.5" thickBot="1">
      <c r="A18" s="263"/>
      <c r="B18" s="497" t="s">
        <v>18</v>
      </c>
      <c r="C18" s="502">
        <v>42</v>
      </c>
      <c r="D18" s="502">
        <v>2</v>
      </c>
      <c r="E18" s="502">
        <v>40</v>
      </c>
      <c r="F18" s="502">
        <v>1636.45</v>
      </c>
      <c r="G18" s="502">
        <v>979.73</v>
      </c>
      <c r="H18" s="502">
        <v>6</v>
      </c>
      <c r="I18" s="502">
        <v>4.3</v>
      </c>
      <c r="J18" s="502">
        <v>31</v>
      </c>
      <c r="K18" s="502">
        <v>971.67</v>
      </c>
      <c r="L18" s="502">
        <v>3</v>
      </c>
      <c r="M18" s="502">
        <v>3.76</v>
      </c>
      <c r="N18" s="502"/>
      <c r="O18" s="502"/>
      <c r="P18" s="263"/>
    </row>
    <row r="19" spans="1:16" ht="13.5" thickBot="1">
      <c r="A19" s="263"/>
      <c r="B19" s="498" t="s">
        <v>19</v>
      </c>
      <c r="C19" s="501">
        <v>47</v>
      </c>
      <c r="D19" s="501">
        <v>20</v>
      </c>
      <c r="E19" s="501">
        <v>27</v>
      </c>
      <c r="F19" s="501">
        <v>1451.03</v>
      </c>
      <c r="G19" s="501">
        <v>1445.47</v>
      </c>
      <c r="H19" s="501">
        <v>6</v>
      </c>
      <c r="I19" s="501">
        <v>1.1599999999999999</v>
      </c>
      <c r="J19" s="501">
        <v>14</v>
      </c>
      <c r="K19" s="501">
        <v>27.94</v>
      </c>
      <c r="L19" s="501"/>
      <c r="M19" s="501"/>
      <c r="N19" s="501">
        <v>7</v>
      </c>
      <c r="O19" s="501">
        <v>1416.37</v>
      </c>
      <c r="P19" s="263"/>
    </row>
    <row r="20" spans="1:16" ht="13.5" thickBot="1">
      <c r="A20" s="263"/>
      <c r="B20" s="497" t="s">
        <v>20</v>
      </c>
      <c r="C20" s="502">
        <v>254</v>
      </c>
      <c r="D20" s="502">
        <v>9</v>
      </c>
      <c r="E20" s="502">
        <v>245</v>
      </c>
      <c r="F20" s="502">
        <v>3474.9</v>
      </c>
      <c r="G20" s="502">
        <v>2439.19</v>
      </c>
      <c r="H20" s="502">
        <v>99</v>
      </c>
      <c r="I20" s="502">
        <v>93.93</v>
      </c>
      <c r="J20" s="502">
        <v>134</v>
      </c>
      <c r="K20" s="502">
        <v>2237.35</v>
      </c>
      <c r="L20" s="502">
        <v>11</v>
      </c>
      <c r="M20" s="502">
        <v>107.89</v>
      </c>
      <c r="N20" s="502">
        <v>1</v>
      </c>
      <c r="O20" s="502">
        <v>0.02</v>
      </c>
      <c r="P20" s="263"/>
    </row>
    <row r="21" spans="1:16" ht="14.25" customHeight="1" thickBot="1">
      <c r="A21" s="263"/>
      <c r="B21" s="498" t="s">
        <v>224</v>
      </c>
      <c r="C21" s="501">
        <v>37</v>
      </c>
      <c r="D21" s="501">
        <v>2</v>
      </c>
      <c r="E21" s="501">
        <v>35</v>
      </c>
      <c r="F21" s="501">
        <v>2329.09</v>
      </c>
      <c r="G21" s="501">
        <v>1074.0999999999999</v>
      </c>
      <c r="H21" s="501">
        <v>4</v>
      </c>
      <c r="I21" s="501">
        <v>168</v>
      </c>
      <c r="J21" s="501">
        <v>31</v>
      </c>
      <c r="K21" s="501">
        <v>906.1</v>
      </c>
      <c r="L21" s="501"/>
      <c r="M21" s="501"/>
      <c r="N21" s="501"/>
      <c r="O21" s="501"/>
      <c r="P21" s="263"/>
    </row>
    <row r="22" spans="1:16" ht="13.5" thickBot="1">
      <c r="A22" s="263"/>
      <c r="B22" s="497" t="s">
        <v>22</v>
      </c>
      <c r="C22" s="502">
        <v>81</v>
      </c>
      <c r="D22" s="502">
        <v>13</v>
      </c>
      <c r="E22" s="502">
        <v>68</v>
      </c>
      <c r="F22" s="502">
        <v>2263.0700000000002</v>
      </c>
      <c r="G22" s="502">
        <v>2156.94</v>
      </c>
      <c r="H22" s="502">
        <v>36</v>
      </c>
      <c r="I22" s="502">
        <v>648.67999999999995</v>
      </c>
      <c r="J22" s="502">
        <v>25</v>
      </c>
      <c r="K22" s="502">
        <v>1485.53</v>
      </c>
      <c r="L22" s="502">
        <v>7</v>
      </c>
      <c r="M22" s="502">
        <v>22.73</v>
      </c>
      <c r="N22" s="502"/>
      <c r="O22" s="502"/>
      <c r="P22" s="263"/>
    </row>
    <row r="23" spans="1:16" ht="13.5" thickBot="1">
      <c r="A23" s="263"/>
      <c r="B23" s="498" t="s">
        <v>23</v>
      </c>
      <c r="C23" s="501">
        <v>4</v>
      </c>
      <c r="D23" s="501"/>
      <c r="E23" s="501">
        <v>4</v>
      </c>
      <c r="F23" s="501">
        <v>162.94999999999999</v>
      </c>
      <c r="G23" s="501">
        <v>162.94999999999999</v>
      </c>
      <c r="H23" s="501">
        <v>2</v>
      </c>
      <c r="I23" s="501">
        <v>155.58000000000001</v>
      </c>
      <c r="J23" s="501">
        <v>2</v>
      </c>
      <c r="K23" s="501">
        <v>7.37</v>
      </c>
      <c r="L23" s="501"/>
      <c r="M23" s="501"/>
      <c r="N23" s="501"/>
      <c r="O23" s="501"/>
      <c r="P23" s="263"/>
    </row>
    <row r="24" spans="1:16" ht="13.5" thickBot="1">
      <c r="A24" s="263"/>
      <c r="B24" s="497" t="s">
        <v>24</v>
      </c>
      <c r="C24" s="502">
        <v>84</v>
      </c>
      <c r="D24" s="502">
        <v>1</v>
      </c>
      <c r="E24" s="502">
        <v>83</v>
      </c>
      <c r="F24" s="502">
        <v>4131.3500000000004</v>
      </c>
      <c r="G24" s="502">
        <v>2999.93</v>
      </c>
      <c r="H24" s="502">
        <v>26</v>
      </c>
      <c r="I24" s="502">
        <v>470.49</v>
      </c>
      <c r="J24" s="502">
        <v>52</v>
      </c>
      <c r="K24" s="502">
        <v>2528.06</v>
      </c>
      <c r="L24" s="502">
        <v>5</v>
      </c>
      <c r="M24" s="502">
        <v>1.39</v>
      </c>
      <c r="N24" s="502"/>
      <c r="O24" s="502"/>
      <c r="P24" s="263"/>
    </row>
    <row r="25" spans="1:16" ht="13.5" thickBot="1">
      <c r="A25" s="263"/>
      <c r="B25" s="498" t="s">
        <v>25</v>
      </c>
      <c r="C25" s="501">
        <v>13</v>
      </c>
      <c r="D25" s="501"/>
      <c r="E25" s="501">
        <v>13</v>
      </c>
      <c r="F25" s="501">
        <v>1076.93</v>
      </c>
      <c r="G25" s="501">
        <v>935.98</v>
      </c>
      <c r="H25" s="501">
        <v>9</v>
      </c>
      <c r="I25" s="501">
        <v>481.61</v>
      </c>
      <c r="J25" s="501">
        <v>4</v>
      </c>
      <c r="K25" s="501">
        <v>454.37</v>
      </c>
      <c r="L25" s="501"/>
      <c r="M25" s="501"/>
      <c r="N25" s="501"/>
      <c r="O25" s="501"/>
      <c r="P25" s="263"/>
    </row>
    <row r="26" spans="1:16" ht="13.5" thickBot="1">
      <c r="A26" s="263"/>
      <c r="B26" s="497" t="s">
        <v>36</v>
      </c>
      <c r="C26" s="502">
        <v>107</v>
      </c>
      <c r="D26" s="502">
        <v>9</v>
      </c>
      <c r="E26" s="502">
        <v>98</v>
      </c>
      <c r="F26" s="502">
        <v>618.45000000000005</v>
      </c>
      <c r="G26" s="502">
        <v>429.29</v>
      </c>
      <c r="H26" s="502">
        <v>29</v>
      </c>
      <c r="I26" s="502">
        <v>89.53</v>
      </c>
      <c r="J26" s="502">
        <v>65</v>
      </c>
      <c r="K26" s="502">
        <v>336.84</v>
      </c>
      <c r="L26" s="502">
        <v>1</v>
      </c>
      <c r="M26" s="502">
        <v>2.5</v>
      </c>
      <c r="N26" s="502">
        <v>3</v>
      </c>
      <c r="O26" s="502">
        <v>0.42</v>
      </c>
      <c r="P26" s="263"/>
    </row>
    <row r="27" spans="1:16" ht="14.25" customHeight="1" thickBot="1">
      <c r="A27" s="263"/>
      <c r="B27" s="498" t="s">
        <v>225</v>
      </c>
      <c r="C27" s="501">
        <v>110</v>
      </c>
      <c r="D27" s="501"/>
      <c r="E27" s="501">
        <v>110</v>
      </c>
      <c r="F27" s="501">
        <v>1082.58</v>
      </c>
      <c r="G27" s="501">
        <v>510.83</v>
      </c>
      <c r="H27" s="501">
        <v>46</v>
      </c>
      <c r="I27" s="501">
        <v>39.270000000000003</v>
      </c>
      <c r="J27" s="501">
        <v>59</v>
      </c>
      <c r="K27" s="501">
        <v>443.08</v>
      </c>
      <c r="L27" s="501">
        <v>5</v>
      </c>
      <c r="M27" s="501">
        <v>28.48</v>
      </c>
      <c r="N27" s="501"/>
      <c r="O27" s="501"/>
      <c r="P27" s="263"/>
    </row>
    <row r="28" spans="1:16" ht="14.25" customHeight="1" thickBot="1">
      <c r="A28" s="263"/>
      <c r="B28" s="497" t="s">
        <v>27</v>
      </c>
      <c r="C28" s="502">
        <v>2</v>
      </c>
      <c r="D28" s="502"/>
      <c r="E28" s="502">
        <v>2</v>
      </c>
      <c r="F28" s="502">
        <v>10.5</v>
      </c>
      <c r="G28" s="502">
        <v>5</v>
      </c>
      <c r="H28" s="502"/>
      <c r="I28" s="502"/>
      <c r="J28" s="502">
        <v>2</v>
      </c>
      <c r="K28" s="502">
        <v>5</v>
      </c>
      <c r="L28" s="502"/>
      <c r="M28" s="502"/>
      <c r="N28" s="502"/>
      <c r="O28" s="502"/>
      <c r="P28" s="263"/>
    </row>
    <row r="29" spans="1:16" ht="14.25" customHeight="1" thickBot="1">
      <c r="A29" s="263"/>
      <c r="B29" s="498" t="s">
        <v>28</v>
      </c>
      <c r="C29" s="501">
        <v>77</v>
      </c>
      <c r="D29" s="501">
        <v>4</v>
      </c>
      <c r="E29" s="501">
        <v>73</v>
      </c>
      <c r="F29" s="501">
        <v>1283.83</v>
      </c>
      <c r="G29" s="501">
        <v>551.35</v>
      </c>
      <c r="H29" s="501">
        <v>38</v>
      </c>
      <c r="I29" s="501">
        <v>422.53</v>
      </c>
      <c r="J29" s="501">
        <v>30</v>
      </c>
      <c r="K29" s="501">
        <v>116.02</v>
      </c>
      <c r="L29" s="501">
        <v>5</v>
      </c>
      <c r="M29" s="501">
        <v>12.8</v>
      </c>
      <c r="N29" s="501"/>
      <c r="O29" s="501"/>
      <c r="P29" s="263"/>
    </row>
    <row r="30" spans="1:16" ht="13.5" thickBot="1">
      <c r="A30" s="263"/>
      <c r="B30" s="497" t="s">
        <v>29</v>
      </c>
      <c r="C30" s="502">
        <v>77</v>
      </c>
      <c r="D30" s="502">
        <v>2</v>
      </c>
      <c r="E30" s="502">
        <v>75</v>
      </c>
      <c r="F30" s="502">
        <v>2932.94</v>
      </c>
      <c r="G30" s="502">
        <v>487.91</v>
      </c>
      <c r="H30" s="502">
        <v>14</v>
      </c>
      <c r="I30" s="502">
        <v>268.58</v>
      </c>
      <c r="J30" s="502">
        <v>61</v>
      </c>
      <c r="K30" s="502">
        <v>219.33</v>
      </c>
      <c r="L30" s="502"/>
      <c r="M30" s="502"/>
      <c r="N30" s="502"/>
      <c r="O30" s="502"/>
      <c r="P30" s="263"/>
    </row>
    <row r="31" spans="1:16" ht="13.5" thickBot="1">
      <c r="A31" s="263"/>
      <c r="B31" s="498" t="s">
        <v>37</v>
      </c>
      <c r="C31" s="501">
        <v>28</v>
      </c>
      <c r="D31" s="501"/>
      <c r="E31" s="501">
        <v>28</v>
      </c>
      <c r="F31" s="501">
        <v>595.85</v>
      </c>
      <c r="G31" s="501">
        <v>464.49</v>
      </c>
      <c r="H31" s="501">
        <v>3</v>
      </c>
      <c r="I31" s="501">
        <v>31.63</v>
      </c>
      <c r="J31" s="501">
        <v>15</v>
      </c>
      <c r="K31" s="501">
        <v>277.26</v>
      </c>
      <c r="L31" s="501"/>
      <c r="M31" s="501"/>
      <c r="N31" s="501">
        <v>10</v>
      </c>
      <c r="O31" s="501">
        <v>155.6</v>
      </c>
      <c r="P31" s="263"/>
    </row>
    <row r="32" spans="1:16" ht="13.5" thickBot="1">
      <c r="A32" s="263"/>
      <c r="B32" s="497" t="s">
        <v>30</v>
      </c>
      <c r="C32" s="502">
        <v>108</v>
      </c>
      <c r="D32" s="502"/>
      <c r="E32" s="502">
        <v>108</v>
      </c>
      <c r="F32" s="502">
        <v>608.45000000000005</v>
      </c>
      <c r="G32" s="502">
        <v>149.5</v>
      </c>
      <c r="H32" s="502">
        <v>83</v>
      </c>
      <c r="I32" s="502">
        <v>10.28</v>
      </c>
      <c r="J32" s="502">
        <v>22</v>
      </c>
      <c r="K32" s="502">
        <v>82.22</v>
      </c>
      <c r="L32" s="502">
        <v>3</v>
      </c>
      <c r="M32" s="502">
        <v>57</v>
      </c>
      <c r="N32" s="502"/>
      <c r="O32" s="502"/>
      <c r="P32" s="263"/>
    </row>
    <row r="33" spans="1:16" ht="13.5" thickBot="1">
      <c r="A33" s="263"/>
      <c r="B33" s="498" t="s">
        <v>31</v>
      </c>
      <c r="C33" s="501">
        <v>50</v>
      </c>
      <c r="D33" s="501">
        <v>4</v>
      </c>
      <c r="E33" s="501">
        <v>46</v>
      </c>
      <c r="F33" s="501">
        <v>1599.64</v>
      </c>
      <c r="G33" s="501">
        <v>831.51</v>
      </c>
      <c r="H33" s="501">
        <v>14</v>
      </c>
      <c r="I33" s="501">
        <v>104.36</v>
      </c>
      <c r="J33" s="501">
        <v>30</v>
      </c>
      <c r="K33" s="501">
        <v>726.18</v>
      </c>
      <c r="L33" s="501">
        <v>2</v>
      </c>
      <c r="M33" s="501">
        <v>0.97</v>
      </c>
      <c r="N33" s="501"/>
      <c r="O33" s="501"/>
      <c r="P33" s="263"/>
    </row>
    <row r="34" spans="1:16" ht="13.5" thickBot="1">
      <c r="A34" s="263"/>
      <c r="B34" s="497" t="s">
        <v>32</v>
      </c>
      <c r="C34" s="502">
        <v>110</v>
      </c>
      <c r="D34" s="502">
        <v>6</v>
      </c>
      <c r="E34" s="502">
        <v>104</v>
      </c>
      <c r="F34" s="502">
        <v>387.27</v>
      </c>
      <c r="G34" s="502">
        <v>347.01</v>
      </c>
      <c r="H34" s="502">
        <v>21</v>
      </c>
      <c r="I34" s="502">
        <v>6.85</v>
      </c>
      <c r="J34" s="502">
        <v>74</v>
      </c>
      <c r="K34" s="502">
        <v>312.42</v>
      </c>
      <c r="L34" s="502">
        <v>5</v>
      </c>
      <c r="M34" s="502">
        <v>5.98</v>
      </c>
      <c r="N34" s="502">
        <v>4</v>
      </c>
      <c r="O34" s="502">
        <v>21.76</v>
      </c>
      <c r="P34" s="263"/>
    </row>
    <row r="35" spans="1:16" ht="13.5" customHeight="1" thickBot="1">
      <c r="A35" s="263"/>
      <c r="B35" s="498" t="s">
        <v>262</v>
      </c>
      <c r="C35" s="501">
        <v>166</v>
      </c>
      <c r="D35" s="501">
        <v>6</v>
      </c>
      <c r="E35" s="501">
        <v>160</v>
      </c>
      <c r="F35" s="501">
        <v>11629.77</v>
      </c>
      <c r="G35" s="501">
        <v>8633.7800000000007</v>
      </c>
      <c r="H35" s="501">
        <v>88</v>
      </c>
      <c r="I35" s="501">
        <v>5890.6</v>
      </c>
      <c r="J35" s="501">
        <v>66</v>
      </c>
      <c r="K35" s="501">
        <v>2362.63</v>
      </c>
      <c r="L35" s="501">
        <v>6</v>
      </c>
      <c r="M35" s="501">
        <v>380.55</v>
      </c>
      <c r="N35" s="501"/>
      <c r="O35" s="501"/>
      <c r="P35" s="263"/>
    </row>
    <row r="36" spans="1:16" ht="13.5" thickBot="1">
      <c r="A36" s="263"/>
      <c r="B36" s="497" t="s">
        <v>34</v>
      </c>
      <c r="C36" s="502">
        <v>72</v>
      </c>
      <c r="D36" s="502">
        <v>10</v>
      </c>
      <c r="E36" s="502">
        <v>62</v>
      </c>
      <c r="F36" s="502">
        <v>140.29</v>
      </c>
      <c r="G36" s="502">
        <v>96.96</v>
      </c>
      <c r="H36" s="502">
        <v>6</v>
      </c>
      <c r="I36" s="502">
        <v>21.01</v>
      </c>
      <c r="J36" s="502">
        <v>56</v>
      </c>
      <c r="K36" s="502">
        <v>75.95</v>
      </c>
      <c r="L36" s="502"/>
      <c r="M36" s="502"/>
      <c r="N36" s="502"/>
      <c r="O36" s="502"/>
      <c r="P36" s="263"/>
    </row>
    <row r="37" spans="1:16" ht="18.75" customHeight="1" thickBot="1">
      <c r="A37" s="263"/>
      <c r="B37" s="498" t="s">
        <v>35</v>
      </c>
      <c r="C37" s="501">
        <v>8</v>
      </c>
      <c r="D37" s="501">
        <v>1</v>
      </c>
      <c r="E37" s="501">
        <v>7</v>
      </c>
      <c r="F37" s="501">
        <v>155.80000000000001</v>
      </c>
      <c r="G37" s="501">
        <v>44.36</v>
      </c>
      <c r="H37" s="501">
        <v>1</v>
      </c>
      <c r="I37" s="501">
        <v>0.57999999999999996</v>
      </c>
      <c r="J37" s="501">
        <v>6</v>
      </c>
      <c r="K37" s="501">
        <v>43.78</v>
      </c>
      <c r="L37" s="501"/>
      <c r="M37" s="501"/>
      <c r="N37" s="501"/>
      <c r="O37" s="501"/>
      <c r="P37" s="263"/>
    </row>
    <row r="38" spans="1:16" ht="13.5" thickBot="1">
      <c r="A38" s="263"/>
      <c r="B38" s="499" t="s">
        <v>52</v>
      </c>
      <c r="C38" s="500">
        <f t="shared" ref="C38:O38" si="0">SUM(C6:C37)</f>
        <v>1974</v>
      </c>
      <c r="D38" s="500">
        <f t="shared" si="0"/>
        <v>106</v>
      </c>
      <c r="E38" s="500">
        <f t="shared" si="0"/>
        <v>1868</v>
      </c>
      <c r="F38" s="500">
        <f t="shared" si="0"/>
        <v>42233.19</v>
      </c>
      <c r="G38" s="500">
        <f t="shared" si="0"/>
        <v>27658.17</v>
      </c>
      <c r="H38" s="500">
        <f t="shared" si="0"/>
        <v>725</v>
      </c>
      <c r="I38" s="500">
        <f t="shared" si="0"/>
        <v>10050.130000000001</v>
      </c>
      <c r="J38" s="500">
        <f t="shared" si="0"/>
        <v>1047</v>
      </c>
      <c r="K38" s="500">
        <f t="shared" si="0"/>
        <v>15194.820000000002</v>
      </c>
      <c r="L38" s="500">
        <f t="shared" si="0"/>
        <v>71</v>
      </c>
      <c r="M38" s="500">
        <f t="shared" si="0"/>
        <v>819.09000000000015</v>
      </c>
      <c r="N38" s="500">
        <f t="shared" si="0"/>
        <v>25</v>
      </c>
      <c r="O38" s="500">
        <f t="shared" si="0"/>
        <v>1594.1699999999998</v>
      </c>
      <c r="P38" s="263"/>
    </row>
    <row r="39" spans="1:16">
      <c r="A39" s="263"/>
      <c r="B39" s="344" t="s">
        <v>231</v>
      </c>
      <c r="C39" s="338"/>
      <c r="D39" s="338"/>
      <c r="E39" s="338"/>
      <c r="F39" s="338"/>
      <c r="G39" s="338"/>
      <c r="H39" s="338"/>
      <c r="I39" s="338"/>
      <c r="J39" s="409"/>
      <c r="K39" s="409"/>
      <c r="L39" s="409"/>
      <c r="M39" s="409"/>
      <c r="N39" s="409"/>
      <c r="O39" s="409"/>
      <c r="P39" s="263"/>
    </row>
    <row r="40" spans="1:16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</row>
    <row r="45" spans="1:16">
      <c r="B45" s="242"/>
    </row>
  </sheetData>
  <customSheetViews>
    <customSheetView guid="{E9B43C8C-734F-433D-AD37-344F9303B5CC}" scale="90" showPageBreaks="1" showRuler="0">
      <pane ySplit="14" topLeftCell="A26" activePane="bottomLeft"/>
      <selection pane="bottomLeft" activeCell="B43" sqref="B43:K43"/>
      <pageMargins left="0.75" right="0.75" top="1" bottom="1" header="0" footer="0"/>
      <pageSetup orientation="portrait" r:id="rId1"/>
      <headerFooter alignWithMargins="0"/>
    </customSheetView>
    <customSheetView guid="{9BF398E0-33D8-4E64-94A2-9B7C822C8383}" scale="90" showRuler="0">
      <pane ySplit="14" topLeftCell="A26" activePane="bottomLeft"/>
      <selection pane="bottomLeft" activeCell="B43" sqref="B43:K43"/>
      <pageMargins left="0.75" right="0.75" top="1" bottom="1" header="0" footer="0"/>
      <pageSetup orientation="portrait" r:id="rId2"/>
      <headerFooter alignWithMargins="0"/>
    </customSheetView>
    <customSheetView guid="{9E220BD5-A526-40BD-8239-3A0461590922}" scale="90" showRuler="0">
      <pane ySplit="14" topLeftCell="A26" activePane="bottomLeft"/>
      <selection pane="bottomLeft" activeCell="B43" sqref="B43:K43"/>
      <pageMargins left="0.75" right="0.75" top="1" bottom="1" header="0" footer="0"/>
      <pageSetup orientation="portrait" r:id="rId3"/>
      <headerFooter alignWithMargins="0"/>
    </customSheetView>
  </customSheetViews>
  <mergeCells count="7">
    <mergeCell ref="B2:O2"/>
    <mergeCell ref="F4:F5"/>
    <mergeCell ref="G4:G5"/>
    <mergeCell ref="B3:B5"/>
    <mergeCell ref="C4:C5"/>
    <mergeCell ref="D4:D5"/>
    <mergeCell ref="E4:E5"/>
  </mergeCells>
  <phoneticPr fontId="9" type="noConversion"/>
  <printOptions horizontalCentered="1"/>
  <pageMargins left="0.19685039370078741" right="0.19685039370078741" top="0.39370078740157483" bottom="0.39370078740157483" header="0" footer="0.19685039370078741"/>
  <pageSetup scale="91" orientation="landscape" r:id="rId4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49" enableFormatConditionsCalculation="0">
    <tabColor indexed="11"/>
    <pageSetUpPr fitToPage="1"/>
  </sheetPr>
  <dimension ref="A1:U49"/>
  <sheetViews>
    <sheetView showGridLines="0" workbookViewId="0">
      <pane xSplit="7560" ySplit="4710" topLeftCell="K36"/>
      <selection pane="topRight" activeCell="J1" sqref="J1"/>
      <selection pane="bottomLeft" activeCell="A15" sqref="A15"/>
      <selection pane="bottomRight" activeCell="J15" sqref="J15"/>
    </sheetView>
  </sheetViews>
  <sheetFormatPr baseColWidth="10" defaultRowHeight="12.75"/>
  <cols>
    <col min="1" max="1" width="1.7109375" customWidth="1"/>
    <col min="2" max="2" width="16.28515625" customWidth="1"/>
    <col min="3" max="3" width="7.140625" customWidth="1"/>
    <col min="4" max="4" width="6.7109375" bestFit="1" customWidth="1"/>
    <col min="5" max="5" width="7.7109375" customWidth="1"/>
    <col min="6" max="7" width="6.7109375" customWidth="1"/>
    <col min="8" max="8" width="6.7109375" bestFit="1" customWidth="1"/>
    <col min="9" max="9" width="8.5703125" bestFit="1" customWidth="1"/>
    <col min="10" max="10" width="6.85546875" customWidth="1"/>
    <col min="11" max="11" width="8.85546875" bestFit="1" customWidth="1"/>
    <col min="12" max="12" width="6.140625" bestFit="1" customWidth="1"/>
    <col min="13" max="13" width="6.7109375" bestFit="1" customWidth="1"/>
    <col min="14" max="14" width="5.28515625" bestFit="1" customWidth="1"/>
    <col min="15" max="15" width="6.42578125" bestFit="1" customWidth="1"/>
    <col min="16" max="16" width="7" bestFit="1" customWidth="1"/>
    <col min="17" max="17" width="8.85546875" bestFit="1" customWidth="1"/>
    <col min="18" max="18" width="7" bestFit="1" customWidth="1"/>
    <col min="19" max="19" width="8.5703125" bestFit="1" customWidth="1"/>
    <col min="20" max="20" width="1.7109375" customWidth="1"/>
  </cols>
  <sheetData>
    <row r="1" spans="1:21" s="46" customFormat="1" ht="15">
      <c r="A1" s="48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8"/>
    </row>
    <row r="2" spans="1:21" s="133" customFormat="1" ht="18" customHeight="1">
      <c r="A2" s="130"/>
      <c r="B2" s="131" t="s">
        <v>185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0"/>
    </row>
    <row r="3" spans="1:21" ht="14.25">
      <c r="A3" s="7"/>
      <c r="B3" s="4">
        <v>1000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1" ht="6" customHeight="1" thickBot="1">
      <c r="A4" s="7"/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1" ht="15" customHeight="1" thickTop="1" thickBot="1">
      <c r="A5" s="7"/>
      <c r="B5" s="1385" t="s">
        <v>5</v>
      </c>
      <c r="C5" s="98" t="s">
        <v>61</v>
      </c>
      <c r="D5" s="99"/>
      <c r="E5" s="97"/>
      <c r="F5" s="96" t="s">
        <v>68</v>
      </c>
      <c r="G5" s="112"/>
      <c r="H5" s="114" t="s">
        <v>69</v>
      </c>
      <c r="I5" s="115"/>
      <c r="J5" s="115"/>
      <c r="K5" s="115"/>
      <c r="L5" s="115"/>
      <c r="M5" s="115"/>
      <c r="N5" s="115"/>
      <c r="O5" s="119"/>
      <c r="P5" s="109" t="s">
        <v>70</v>
      </c>
      <c r="Q5" s="110"/>
      <c r="R5" s="110"/>
      <c r="S5" s="111"/>
      <c r="T5" s="7"/>
    </row>
    <row r="6" spans="1:21" ht="18" customHeight="1">
      <c r="A6" s="7"/>
      <c r="B6" s="1386"/>
      <c r="C6" s="1397" t="s">
        <v>4</v>
      </c>
      <c r="D6" s="1389" t="s">
        <v>72</v>
      </c>
      <c r="E6" s="1391" t="s">
        <v>71</v>
      </c>
      <c r="F6" s="1393" t="s">
        <v>73</v>
      </c>
      <c r="G6" s="1395" t="s">
        <v>74</v>
      </c>
      <c r="H6" s="116" t="s">
        <v>67</v>
      </c>
      <c r="I6" s="117"/>
      <c r="J6" s="118" t="s">
        <v>75</v>
      </c>
      <c r="K6" s="117"/>
      <c r="L6" s="118" t="s">
        <v>76</v>
      </c>
      <c r="M6" s="117"/>
      <c r="N6" s="118" t="s">
        <v>77</v>
      </c>
      <c r="O6" s="120"/>
      <c r="P6" s="105" t="s">
        <v>78</v>
      </c>
      <c r="Q6" s="106"/>
      <c r="R6" s="107" t="s">
        <v>79</v>
      </c>
      <c r="S6" s="108"/>
      <c r="T6" s="7"/>
    </row>
    <row r="7" spans="1:21" ht="18" customHeight="1" thickBot="1">
      <c r="A7" s="7"/>
      <c r="B7" s="1387"/>
      <c r="C7" s="1398"/>
      <c r="D7" s="1390"/>
      <c r="E7" s="1392"/>
      <c r="F7" s="1394"/>
      <c r="G7" s="1396"/>
      <c r="H7" s="100" t="s">
        <v>80</v>
      </c>
      <c r="I7" s="101" t="s">
        <v>124</v>
      </c>
      <c r="J7" s="102" t="s">
        <v>80</v>
      </c>
      <c r="K7" s="101" t="s">
        <v>124</v>
      </c>
      <c r="L7" s="102" t="s">
        <v>80</v>
      </c>
      <c r="M7" s="101" t="s">
        <v>124</v>
      </c>
      <c r="N7" s="104" t="s">
        <v>80</v>
      </c>
      <c r="O7" s="113" t="s">
        <v>124</v>
      </c>
      <c r="P7" s="100" t="s">
        <v>80</v>
      </c>
      <c r="Q7" s="101" t="s">
        <v>124</v>
      </c>
      <c r="R7" s="104" t="s">
        <v>80</v>
      </c>
      <c r="S7" s="103" t="s">
        <v>124</v>
      </c>
      <c r="T7" s="7"/>
    </row>
    <row r="8" spans="1:21" ht="6" customHeight="1" thickTop="1" thickBot="1">
      <c r="A8" s="7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"/>
    </row>
    <row r="9" spans="1:21" ht="18.95" customHeight="1" thickTop="1">
      <c r="A9" s="7"/>
      <c r="B9" s="177" t="s">
        <v>6</v>
      </c>
      <c r="C9" s="138">
        <v>24</v>
      </c>
      <c r="D9" s="139">
        <v>2</v>
      </c>
      <c r="E9" s="140">
        <v>22</v>
      </c>
      <c r="F9" s="141">
        <v>0.19769999999999999</v>
      </c>
      <c r="G9" s="142">
        <v>8.9969999999999994E-2</v>
      </c>
      <c r="H9" s="143">
        <v>3</v>
      </c>
      <c r="I9" s="144">
        <v>3.81E-3</v>
      </c>
      <c r="J9" s="145">
        <v>19</v>
      </c>
      <c r="K9" s="144">
        <v>8.616E-2</v>
      </c>
      <c r="L9" s="145">
        <v>0</v>
      </c>
      <c r="M9" s="144">
        <v>0</v>
      </c>
      <c r="N9" s="145">
        <v>0</v>
      </c>
      <c r="O9" s="144">
        <v>0</v>
      </c>
      <c r="P9" s="143">
        <v>7</v>
      </c>
      <c r="Q9" s="144">
        <v>8.1600000000000006E-3</v>
      </c>
      <c r="R9" s="146">
        <v>15</v>
      </c>
      <c r="S9" s="147">
        <v>8.1810000000000008E-2</v>
      </c>
      <c r="T9" s="7"/>
      <c r="U9" s="62">
        <f t="shared" ref="U9:U40" si="0">+P9/(P9+R9)</f>
        <v>0.31818181818181818</v>
      </c>
    </row>
    <row r="10" spans="1:21" ht="18.95" customHeight="1">
      <c r="A10" s="7"/>
      <c r="B10" s="178" t="s">
        <v>7</v>
      </c>
      <c r="C10" s="148">
        <v>180</v>
      </c>
      <c r="D10" s="149">
        <v>1</v>
      </c>
      <c r="E10" s="150">
        <v>179</v>
      </c>
      <c r="F10" s="151">
        <v>0.39729000000000003</v>
      </c>
      <c r="G10" s="152">
        <v>0.39480999999999999</v>
      </c>
      <c r="H10" s="153">
        <v>121</v>
      </c>
      <c r="I10" s="154">
        <v>0.18187999999999999</v>
      </c>
      <c r="J10" s="155">
        <v>58</v>
      </c>
      <c r="K10" s="154">
        <v>0.21293000000000001</v>
      </c>
      <c r="L10" s="155">
        <v>0</v>
      </c>
      <c r="M10" s="154">
        <v>0</v>
      </c>
      <c r="N10" s="155">
        <v>0</v>
      </c>
      <c r="O10" s="154">
        <v>0</v>
      </c>
      <c r="P10" s="153">
        <v>5</v>
      </c>
      <c r="Q10" s="154">
        <v>0.12151999999999999</v>
      </c>
      <c r="R10" s="156">
        <v>174</v>
      </c>
      <c r="S10" s="157">
        <v>0.27329000000000003</v>
      </c>
      <c r="T10" s="7"/>
      <c r="U10" s="62">
        <f t="shared" si="0"/>
        <v>2.7932960893854747E-2</v>
      </c>
    </row>
    <row r="11" spans="1:21" ht="18.95" customHeight="1">
      <c r="A11" s="7"/>
      <c r="B11" s="178" t="s">
        <v>8</v>
      </c>
      <c r="C11" s="148">
        <v>10</v>
      </c>
      <c r="D11" s="149">
        <v>3</v>
      </c>
      <c r="E11" s="150">
        <v>7</v>
      </c>
      <c r="F11" s="151">
        <v>8.150000000000001E-3</v>
      </c>
      <c r="G11" s="152">
        <v>8.150000000000001E-3</v>
      </c>
      <c r="H11" s="153">
        <v>1</v>
      </c>
      <c r="I11" s="154">
        <v>7.6000000000000004E-4</v>
      </c>
      <c r="J11" s="155">
        <v>6</v>
      </c>
      <c r="K11" s="154">
        <v>7.3899999999999999E-3</v>
      </c>
      <c r="L11" s="155">
        <v>0</v>
      </c>
      <c r="M11" s="154">
        <v>0</v>
      </c>
      <c r="N11" s="155">
        <v>0</v>
      </c>
      <c r="O11" s="154">
        <v>0</v>
      </c>
      <c r="P11" s="153">
        <v>0</v>
      </c>
      <c r="Q11" s="154">
        <v>0</v>
      </c>
      <c r="R11" s="156">
        <v>7</v>
      </c>
      <c r="S11" s="157">
        <v>8.150000000000001E-3</v>
      </c>
      <c r="T11" s="7"/>
      <c r="U11" s="62">
        <f t="shared" si="0"/>
        <v>0</v>
      </c>
    </row>
    <row r="12" spans="1:21" ht="18.95" customHeight="1">
      <c r="A12" s="7"/>
      <c r="B12" s="178" t="s">
        <v>9</v>
      </c>
      <c r="C12" s="148">
        <v>35</v>
      </c>
      <c r="D12" s="149">
        <v>2</v>
      </c>
      <c r="E12" s="150">
        <v>33</v>
      </c>
      <c r="F12" s="151">
        <v>7.8060000000000004E-2</v>
      </c>
      <c r="G12" s="152">
        <v>5.7329999999999999E-2</v>
      </c>
      <c r="H12" s="153">
        <v>3</v>
      </c>
      <c r="I12" s="154">
        <v>4.6999999999999999E-4</v>
      </c>
      <c r="J12" s="155">
        <v>25</v>
      </c>
      <c r="K12" s="154">
        <v>3.6799999999999999E-2</v>
      </c>
      <c r="L12" s="155">
        <v>5</v>
      </c>
      <c r="M12" s="154">
        <v>2.0059999999999998E-2</v>
      </c>
      <c r="N12" s="155">
        <v>0</v>
      </c>
      <c r="O12" s="154">
        <v>0</v>
      </c>
      <c r="P12" s="153">
        <v>31</v>
      </c>
      <c r="Q12" s="154">
        <v>4.811E-2</v>
      </c>
      <c r="R12" s="156">
        <v>2</v>
      </c>
      <c r="S12" s="157">
        <v>9.2200000000000008E-3</v>
      </c>
      <c r="T12" s="7"/>
      <c r="U12" s="62">
        <f t="shared" si="0"/>
        <v>0.93939393939393945</v>
      </c>
    </row>
    <row r="13" spans="1:21" ht="18.95" customHeight="1">
      <c r="A13" s="7"/>
      <c r="B13" s="178" t="s">
        <v>12</v>
      </c>
      <c r="C13" s="148">
        <v>12</v>
      </c>
      <c r="D13" s="149">
        <v>1</v>
      </c>
      <c r="E13" s="150">
        <v>11</v>
      </c>
      <c r="F13" s="151">
        <v>0.68710000000000004</v>
      </c>
      <c r="G13" s="152">
        <v>0.68710000000000004</v>
      </c>
      <c r="H13" s="153">
        <v>3</v>
      </c>
      <c r="I13" s="154">
        <v>0.54449000000000003</v>
      </c>
      <c r="J13" s="155">
        <v>8</v>
      </c>
      <c r="K13" s="154">
        <v>0.14261000000000001</v>
      </c>
      <c r="L13" s="155">
        <v>0</v>
      </c>
      <c r="M13" s="154">
        <v>0</v>
      </c>
      <c r="N13" s="155">
        <v>0</v>
      </c>
      <c r="O13" s="154">
        <v>0</v>
      </c>
      <c r="P13" s="153">
        <v>3</v>
      </c>
      <c r="Q13" s="154">
        <v>2.5000000000000001E-3</v>
      </c>
      <c r="R13" s="156">
        <v>8</v>
      </c>
      <c r="S13" s="157">
        <v>0.68459999999999999</v>
      </c>
      <c r="T13" s="7"/>
      <c r="U13" s="62">
        <f t="shared" si="0"/>
        <v>0.27272727272727271</v>
      </c>
    </row>
    <row r="14" spans="1:21" ht="18.95" customHeight="1">
      <c r="A14" s="7"/>
      <c r="B14" s="178" t="s">
        <v>13</v>
      </c>
      <c r="C14" s="148">
        <v>22</v>
      </c>
      <c r="D14" s="149">
        <v>1</v>
      </c>
      <c r="E14" s="150">
        <v>21</v>
      </c>
      <c r="F14" s="151">
        <v>0.6633</v>
      </c>
      <c r="G14" s="152">
        <v>0.28717999999999999</v>
      </c>
      <c r="H14" s="153">
        <v>4</v>
      </c>
      <c r="I14" s="154">
        <v>1.7000000000000001E-2</v>
      </c>
      <c r="J14" s="155">
        <v>17</v>
      </c>
      <c r="K14" s="154">
        <v>0.27018000000000003</v>
      </c>
      <c r="L14" s="155">
        <v>0</v>
      </c>
      <c r="M14" s="154">
        <v>0</v>
      </c>
      <c r="N14" s="155">
        <v>0</v>
      </c>
      <c r="O14" s="154">
        <v>0</v>
      </c>
      <c r="P14" s="153">
        <v>7</v>
      </c>
      <c r="Q14" s="154">
        <v>0.23721999999999999</v>
      </c>
      <c r="R14" s="156">
        <v>14</v>
      </c>
      <c r="S14" s="157">
        <v>4.9959999999999997E-2</v>
      </c>
      <c r="T14" s="7"/>
      <c r="U14" s="62">
        <f t="shared" si="0"/>
        <v>0.33333333333333331</v>
      </c>
    </row>
    <row r="15" spans="1:21" ht="18.95" customHeight="1">
      <c r="A15" s="7"/>
      <c r="B15" s="178" t="s">
        <v>10</v>
      </c>
      <c r="C15" s="148">
        <v>63</v>
      </c>
      <c r="D15" s="149">
        <v>1</v>
      </c>
      <c r="E15" s="150">
        <v>62</v>
      </c>
      <c r="F15" s="151">
        <v>0.84990999999999994</v>
      </c>
      <c r="G15" s="152">
        <v>0.57896000000000003</v>
      </c>
      <c r="H15" s="153">
        <v>24</v>
      </c>
      <c r="I15" s="154">
        <v>5.4229999999999993E-2</v>
      </c>
      <c r="J15" s="155">
        <v>34</v>
      </c>
      <c r="K15" s="154">
        <v>0.50644999999999996</v>
      </c>
      <c r="L15" s="155">
        <v>4</v>
      </c>
      <c r="M15" s="154">
        <v>1.8280000000000001E-2</v>
      </c>
      <c r="N15" s="155">
        <v>0</v>
      </c>
      <c r="O15" s="154">
        <v>0</v>
      </c>
      <c r="P15" s="153">
        <v>57</v>
      </c>
      <c r="Q15" s="154">
        <v>0.50966</v>
      </c>
      <c r="R15" s="156">
        <v>5</v>
      </c>
      <c r="S15" s="157">
        <v>6.93E-2</v>
      </c>
      <c r="T15" s="7"/>
      <c r="U15" s="62">
        <f t="shared" si="0"/>
        <v>0.91935483870967738</v>
      </c>
    </row>
    <row r="16" spans="1:21" ht="18.95" customHeight="1">
      <c r="A16" s="7"/>
      <c r="B16" s="178" t="s">
        <v>11</v>
      </c>
      <c r="C16" s="148">
        <v>10</v>
      </c>
      <c r="D16" s="149">
        <v>0</v>
      </c>
      <c r="E16" s="150">
        <v>10</v>
      </c>
      <c r="F16" s="151">
        <v>0.46700000000000003</v>
      </c>
      <c r="G16" s="152">
        <v>0.3145</v>
      </c>
      <c r="H16" s="153">
        <v>2</v>
      </c>
      <c r="I16" s="154">
        <v>7.0999999999999994E-2</v>
      </c>
      <c r="J16" s="155">
        <v>8</v>
      </c>
      <c r="K16" s="154">
        <v>0.24349999999999999</v>
      </c>
      <c r="L16" s="155">
        <v>0</v>
      </c>
      <c r="M16" s="154">
        <v>0</v>
      </c>
      <c r="N16" s="155">
        <v>0</v>
      </c>
      <c r="O16" s="154">
        <v>0</v>
      </c>
      <c r="P16" s="153">
        <v>7</v>
      </c>
      <c r="Q16" s="154">
        <v>0.24049999999999999</v>
      </c>
      <c r="R16" s="156">
        <v>3</v>
      </c>
      <c r="S16" s="157">
        <v>7.3999999999999996E-2</v>
      </c>
      <c r="T16" s="7"/>
      <c r="U16" s="62">
        <f t="shared" si="0"/>
        <v>0.7</v>
      </c>
    </row>
    <row r="17" spans="1:21" ht="18.95" customHeight="1">
      <c r="A17" s="7"/>
      <c r="B17" s="178" t="s">
        <v>14</v>
      </c>
      <c r="C17" s="148">
        <v>15</v>
      </c>
      <c r="D17" s="149">
        <v>0</v>
      </c>
      <c r="E17" s="150">
        <v>15</v>
      </c>
      <c r="F17" s="151">
        <v>4.1700000000000001E-2</v>
      </c>
      <c r="G17" s="152">
        <v>4.0299999999999996E-2</v>
      </c>
      <c r="H17" s="153">
        <v>3</v>
      </c>
      <c r="I17" s="154">
        <v>8.1799999999999998E-3</v>
      </c>
      <c r="J17" s="155">
        <v>11</v>
      </c>
      <c r="K17" s="154">
        <v>3.0719999999999997E-2</v>
      </c>
      <c r="L17" s="155">
        <v>1</v>
      </c>
      <c r="M17" s="154">
        <v>1.4E-3</v>
      </c>
      <c r="N17" s="155">
        <v>0</v>
      </c>
      <c r="O17" s="154">
        <v>0</v>
      </c>
      <c r="P17" s="153">
        <v>12</v>
      </c>
      <c r="Q17" s="154">
        <v>8.9099999999999995E-3</v>
      </c>
      <c r="R17" s="156">
        <v>3</v>
      </c>
      <c r="S17" s="157">
        <v>3.1390000000000001E-2</v>
      </c>
      <c r="T17" s="7"/>
      <c r="U17" s="62">
        <f t="shared" si="0"/>
        <v>0.8</v>
      </c>
    </row>
    <row r="18" spans="1:21" ht="18.95" customHeight="1">
      <c r="A18" s="7"/>
      <c r="B18" s="178" t="s">
        <v>15</v>
      </c>
      <c r="C18" s="148">
        <v>35</v>
      </c>
      <c r="D18" s="149">
        <v>2</v>
      </c>
      <c r="E18" s="150">
        <v>33</v>
      </c>
      <c r="F18" s="151">
        <v>0.71009</v>
      </c>
      <c r="G18" s="152">
        <v>0.37886999999999998</v>
      </c>
      <c r="H18" s="153">
        <v>11</v>
      </c>
      <c r="I18" s="154">
        <v>0.12257</v>
      </c>
      <c r="J18" s="155">
        <v>20</v>
      </c>
      <c r="K18" s="154">
        <v>0.20030000000000001</v>
      </c>
      <c r="L18" s="155">
        <v>2</v>
      </c>
      <c r="M18" s="154">
        <v>5.6000000000000001E-2</v>
      </c>
      <c r="N18" s="155">
        <v>0</v>
      </c>
      <c r="O18" s="154">
        <v>0</v>
      </c>
      <c r="P18" s="153">
        <v>24</v>
      </c>
      <c r="Q18" s="154">
        <v>0.24181</v>
      </c>
      <c r="R18" s="156">
        <v>9</v>
      </c>
      <c r="S18" s="157">
        <v>0.13706000000000002</v>
      </c>
      <c r="T18" s="7"/>
      <c r="U18" s="62">
        <f t="shared" si="0"/>
        <v>0.72727272727272729</v>
      </c>
    </row>
    <row r="19" spans="1:21" ht="18.95" customHeight="1">
      <c r="A19" s="7"/>
      <c r="B19" s="178" t="s">
        <v>16</v>
      </c>
      <c r="C19" s="148">
        <v>56</v>
      </c>
      <c r="D19" s="149">
        <v>0</v>
      </c>
      <c r="E19" s="150">
        <v>56</v>
      </c>
      <c r="F19" s="151">
        <v>0.53516760000000008</v>
      </c>
      <c r="G19" s="152">
        <v>0.23523100000000002</v>
      </c>
      <c r="H19" s="153">
        <v>14</v>
      </c>
      <c r="I19" s="154">
        <v>2.3390000000000001E-2</v>
      </c>
      <c r="J19" s="155">
        <v>34</v>
      </c>
      <c r="K19" s="154">
        <v>0.18661100000000003</v>
      </c>
      <c r="L19" s="155">
        <v>8</v>
      </c>
      <c r="M19" s="154">
        <v>2.5229999999999999E-2</v>
      </c>
      <c r="N19" s="155">
        <v>0</v>
      </c>
      <c r="O19" s="154">
        <v>0</v>
      </c>
      <c r="P19" s="153">
        <v>9</v>
      </c>
      <c r="Q19" s="154">
        <v>1.7397599999999999E-2</v>
      </c>
      <c r="R19" s="156">
        <v>47</v>
      </c>
      <c r="S19" s="157">
        <v>0.21783000000000002</v>
      </c>
      <c r="T19" s="7"/>
      <c r="U19" s="62">
        <f t="shared" si="0"/>
        <v>0.16071428571428573</v>
      </c>
    </row>
    <row r="20" spans="1:21" ht="18.95" customHeight="1">
      <c r="A20" s="7"/>
      <c r="B20" s="178" t="s">
        <v>17</v>
      </c>
      <c r="C20" s="148">
        <v>8</v>
      </c>
      <c r="D20" s="149">
        <v>1</v>
      </c>
      <c r="E20" s="150">
        <v>7</v>
      </c>
      <c r="F20" s="151">
        <v>4.7149999999999997E-2</v>
      </c>
      <c r="G20" s="152">
        <v>3.7350000000000001E-2</v>
      </c>
      <c r="H20" s="153">
        <v>0</v>
      </c>
      <c r="I20" s="154">
        <v>0</v>
      </c>
      <c r="J20" s="155">
        <v>7</v>
      </c>
      <c r="K20" s="154">
        <v>3.7350000000000001E-2</v>
      </c>
      <c r="L20" s="155">
        <v>0</v>
      </c>
      <c r="M20" s="154">
        <v>0</v>
      </c>
      <c r="N20" s="155">
        <v>0</v>
      </c>
      <c r="O20" s="154">
        <v>0</v>
      </c>
      <c r="P20" s="153">
        <v>7</v>
      </c>
      <c r="Q20" s="154">
        <v>3.7350000000000001E-2</v>
      </c>
      <c r="R20" s="156">
        <v>0</v>
      </c>
      <c r="S20" s="157">
        <v>0</v>
      </c>
      <c r="T20" s="7"/>
      <c r="U20" s="62">
        <f t="shared" si="0"/>
        <v>1</v>
      </c>
    </row>
    <row r="21" spans="1:21" ht="18.95" customHeight="1">
      <c r="A21" s="7"/>
      <c r="B21" s="178" t="s">
        <v>18</v>
      </c>
      <c r="C21" s="148">
        <v>36</v>
      </c>
      <c r="D21" s="149">
        <v>2</v>
      </c>
      <c r="E21" s="150">
        <v>34</v>
      </c>
      <c r="F21" s="151">
        <v>1.6375</v>
      </c>
      <c r="G21" s="152">
        <v>0.97471000000000008</v>
      </c>
      <c r="H21" s="153">
        <v>6</v>
      </c>
      <c r="I21" s="154">
        <v>5.1799999999999997E-3</v>
      </c>
      <c r="J21" s="155">
        <v>25</v>
      </c>
      <c r="K21" s="154">
        <v>0.96584999999999999</v>
      </c>
      <c r="L21" s="155">
        <v>3</v>
      </c>
      <c r="M21" s="154">
        <v>3.6800000000000001E-3</v>
      </c>
      <c r="N21" s="155">
        <v>0</v>
      </c>
      <c r="O21" s="154">
        <v>0</v>
      </c>
      <c r="P21" s="153">
        <v>17</v>
      </c>
      <c r="Q21" s="154">
        <v>0.34116000000000002</v>
      </c>
      <c r="R21" s="156">
        <v>17</v>
      </c>
      <c r="S21" s="157">
        <v>0.63354999999999995</v>
      </c>
      <c r="T21" s="7"/>
      <c r="U21" s="62">
        <f t="shared" si="0"/>
        <v>0.5</v>
      </c>
    </row>
    <row r="22" spans="1:21" ht="18.95" customHeight="1">
      <c r="A22" s="7"/>
      <c r="B22" s="178" t="s">
        <v>19</v>
      </c>
      <c r="C22" s="148">
        <v>54</v>
      </c>
      <c r="D22" s="149">
        <v>0</v>
      </c>
      <c r="E22" s="150">
        <v>54</v>
      </c>
      <c r="F22" s="151">
        <v>0.37520999999999999</v>
      </c>
      <c r="G22" s="152">
        <v>0.37520999999999999</v>
      </c>
      <c r="H22" s="153">
        <v>34</v>
      </c>
      <c r="I22" s="154">
        <v>0.26483999999999996</v>
      </c>
      <c r="J22" s="155">
        <v>19</v>
      </c>
      <c r="K22" s="154">
        <v>0.11011</v>
      </c>
      <c r="L22" s="155">
        <v>1</v>
      </c>
      <c r="M22" s="154">
        <v>2.6000000000000003E-4</v>
      </c>
      <c r="N22" s="155">
        <v>0</v>
      </c>
      <c r="O22" s="154">
        <v>0</v>
      </c>
      <c r="P22" s="153">
        <v>51</v>
      </c>
      <c r="Q22" s="154">
        <v>0.36275999999999997</v>
      </c>
      <c r="R22" s="156">
        <v>3</v>
      </c>
      <c r="S22" s="157">
        <v>1.2449999999999999E-2</v>
      </c>
      <c r="T22" s="7"/>
      <c r="U22" s="62">
        <f t="shared" si="0"/>
        <v>0.94444444444444442</v>
      </c>
    </row>
    <row r="23" spans="1:21" ht="18.95" customHeight="1">
      <c r="A23" s="7"/>
      <c r="B23" s="178" t="s">
        <v>20</v>
      </c>
      <c r="C23" s="148">
        <v>256</v>
      </c>
      <c r="D23" s="149">
        <v>10</v>
      </c>
      <c r="E23" s="150">
        <v>246</v>
      </c>
      <c r="F23" s="151">
        <v>3.4793000000000003</v>
      </c>
      <c r="G23" s="152">
        <v>2.3855599999999999</v>
      </c>
      <c r="H23" s="153">
        <v>99</v>
      </c>
      <c r="I23" s="154">
        <v>9.348999999999999E-2</v>
      </c>
      <c r="J23" s="155">
        <v>132</v>
      </c>
      <c r="K23" s="154">
        <v>2.1755800000000001</v>
      </c>
      <c r="L23" s="155">
        <v>15</v>
      </c>
      <c r="M23" s="154">
        <v>0.11649</v>
      </c>
      <c r="N23" s="155">
        <v>0</v>
      </c>
      <c r="O23" s="154">
        <v>0</v>
      </c>
      <c r="P23" s="153">
        <v>144</v>
      </c>
      <c r="Q23" s="154">
        <v>1.9404000000000001</v>
      </c>
      <c r="R23" s="156">
        <v>102</v>
      </c>
      <c r="S23" s="157">
        <v>0.44516</v>
      </c>
      <c r="T23" s="7"/>
      <c r="U23" s="62">
        <f t="shared" si="0"/>
        <v>0.58536585365853655</v>
      </c>
    </row>
    <row r="24" spans="1:21" ht="18.95" customHeight="1">
      <c r="A24" s="7"/>
      <c r="B24" s="178" t="s">
        <v>21</v>
      </c>
      <c r="C24" s="148">
        <v>36</v>
      </c>
      <c r="D24" s="149">
        <v>2</v>
      </c>
      <c r="E24" s="150">
        <v>34</v>
      </c>
      <c r="F24" s="151">
        <v>2.1844999999999999</v>
      </c>
      <c r="G24" s="152">
        <v>1.0730999999999999</v>
      </c>
      <c r="H24" s="153">
        <v>4</v>
      </c>
      <c r="I24" s="154">
        <v>0.16800000000000001</v>
      </c>
      <c r="J24" s="155">
        <v>30</v>
      </c>
      <c r="K24" s="154">
        <v>0.90510000000000002</v>
      </c>
      <c r="L24" s="155">
        <v>0</v>
      </c>
      <c r="M24" s="154">
        <v>0</v>
      </c>
      <c r="N24" s="155">
        <v>0</v>
      </c>
      <c r="O24" s="154">
        <v>0</v>
      </c>
      <c r="P24" s="153">
        <v>17</v>
      </c>
      <c r="Q24" s="154">
        <v>0.58229999999999993</v>
      </c>
      <c r="R24" s="156">
        <v>17</v>
      </c>
      <c r="S24" s="157">
        <v>0.49080000000000001</v>
      </c>
      <c r="T24" s="7"/>
      <c r="U24" s="62">
        <f t="shared" si="0"/>
        <v>0.5</v>
      </c>
    </row>
    <row r="25" spans="1:21" ht="18.95" customHeight="1">
      <c r="A25" s="7"/>
      <c r="B25" s="178" t="s">
        <v>22</v>
      </c>
      <c r="C25" s="148">
        <v>81</v>
      </c>
      <c r="D25" s="149">
        <v>13</v>
      </c>
      <c r="E25" s="150">
        <v>68</v>
      </c>
      <c r="F25" s="151">
        <v>2.2630700000000004</v>
      </c>
      <c r="G25" s="152">
        <v>2.15794</v>
      </c>
      <c r="H25" s="153">
        <v>36</v>
      </c>
      <c r="I25" s="154">
        <v>0.64867999999999992</v>
      </c>
      <c r="J25" s="155">
        <v>25</v>
      </c>
      <c r="K25" s="154">
        <v>1.4865299999999999</v>
      </c>
      <c r="L25" s="155">
        <v>7</v>
      </c>
      <c r="M25" s="154">
        <v>2.273E-2</v>
      </c>
      <c r="N25" s="155">
        <v>0</v>
      </c>
      <c r="O25" s="154">
        <v>0</v>
      </c>
      <c r="P25" s="153">
        <v>30</v>
      </c>
      <c r="Q25" s="154">
        <v>1.29539</v>
      </c>
      <c r="R25" s="156">
        <v>38</v>
      </c>
      <c r="S25" s="157">
        <v>0.86254999999999993</v>
      </c>
      <c r="T25" s="7"/>
      <c r="U25" s="62">
        <f t="shared" si="0"/>
        <v>0.44117647058823528</v>
      </c>
    </row>
    <row r="26" spans="1:21" ht="18.95" customHeight="1">
      <c r="A26" s="7"/>
      <c r="B26" s="178" t="s">
        <v>23</v>
      </c>
      <c r="C26" s="148">
        <v>4</v>
      </c>
      <c r="D26" s="149">
        <v>0</v>
      </c>
      <c r="E26" s="150">
        <v>4</v>
      </c>
      <c r="F26" s="151">
        <v>0.16294999999999998</v>
      </c>
      <c r="G26" s="152">
        <v>0.16294999999999998</v>
      </c>
      <c r="H26" s="153">
        <v>2</v>
      </c>
      <c r="I26" s="154">
        <v>0.15558000000000002</v>
      </c>
      <c r="J26" s="155">
        <v>2</v>
      </c>
      <c r="K26" s="154">
        <v>7.3699999999999998E-3</v>
      </c>
      <c r="L26" s="155">
        <v>0</v>
      </c>
      <c r="M26" s="154">
        <v>0</v>
      </c>
      <c r="N26" s="155">
        <v>0</v>
      </c>
      <c r="O26" s="154">
        <v>0</v>
      </c>
      <c r="P26" s="153">
        <v>0</v>
      </c>
      <c r="Q26" s="154">
        <v>0</v>
      </c>
      <c r="R26" s="156">
        <v>4</v>
      </c>
      <c r="S26" s="157">
        <v>0.16294999999999998</v>
      </c>
      <c r="T26" s="7"/>
      <c r="U26" s="62">
        <f t="shared" si="0"/>
        <v>0</v>
      </c>
    </row>
    <row r="27" spans="1:21" ht="18.95" customHeight="1">
      <c r="A27" s="7"/>
      <c r="B27" s="178" t="s">
        <v>24</v>
      </c>
      <c r="C27" s="148">
        <v>83</v>
      </c>
      <c r="D27" s="149">
        <v>0</v>
      </c>
      <c r="E27" s="150">
        <v>83</v>
      </c>
      <c r="F27" s="151">
        <v>4.1313500000000003</v>
      </c>
      <c r="G27" s="152">
        <v>2.99993</v>
      </c>
      <c r="H27" s="153">
        <v>26</v>
      </c>
      <c r="I27" s="154">
        <v>0.46063999999999999</v>
      </c>
      <c r="J27" s="155">
        <v>57</v>
      </c>
      <c r="K27" s="154">
        <v>2.5392899999999998</v>
      </c>
      <c r="L27" s="155">
        <v>0</v>
      </c>
      <c r="M27" s="154">
        <v>0</v>
      </c>
      <c r="N27" s="155">
        <v>0</v>
      </c>
      <c r="O27" s="154">
        <v>0</v>
      </c>
      <c r="P27" s="153">
        <v>83</v>
      </c>
      <c r="Q27" s="154">
        <v>2.99993</v>
      </c>
      <c r="R27" s="156">
        <v>0</v>
      </c>
      <c r="S27" s="157">
        <v>0</v>
      </c>
      <c r="T27" s="7"/>
      <c r="U27" s="62">
        <f t="shared" si="0"/>
        <v>1</v>
      </c>
    </row>
    <row r="28" spans="1:21" ht="18.95" customHeight="1">
      <c r="A28" s="7"/>
      <c r="B28" s="178" t="s">
        <v>25</v>
      </c>
      <c r="C28" s="148">
        <v>13</v>
      </c>
      <c r="D28" s="149">
        <v>0</v>
      </c>
      <c r="E28" s="150">
        <v>13</v>
      </c>
      <c r="F28" s="151">
        <v>1.0769300000000002</v>
      </c>
      <c r="G28" s="152">
        <v>0.93598000000000003</v>
      </c>
      <c r="H28" s="153">
        <v>9</v>
      </c>
      <c r="I28" s="154">
        <v>0.48161000000000004</v>
      </c>
      <c r="J28" s="155">
        <v>4</v>
      </c>
      <c r="K28" s="154">
        <v>0.45437</v>
      </c>
      <c r="L28" s="155">
        <v>0</v>
      </c>
      <c r="M28" s="154">
        <v>0</v>
      </c>
      <c r="N28" s="155">
        <v>0</v>
      </c>
      <c r="O28" s="154">
        <v>0</v>
      </c>
      <c r="P28" s="153">
        <v>9</v>
      </c>
      <c r="Q28" s="154">
        <v>0.74103999999999992</v>
      </c>
      <c r="R28" s="156">
        <v>4</v>
      </c>
      <c r="S28" s="157">
        <v>0.19494</v>
      </c>
      <c r="T28" s="7"/>
      <c r="U28" s="62">
        <f t="shared" si="0"/>
        <v>0.69230769230769229</v>
      </c>
    </row>
    <row r="29" spans="1:21" ht="18.95" customHeight="1">
      <c r="A29" s="7"/>
      <c r="B29" s="178" t="s">
        <v>36</v>
      </c>
      <c r="C29" s="148">
        <v>108</v>
      </c>
      <c r="D29" s="149">
        <v>10</v>
      </c>
      <c r="E29" s="150">
        <v>98</v>
      </c>
      <c r="F29" s="151">
        <v>0.74997999999999998</v>
      </c>
      <c r="G29" s="152">
        <v>0.43237000000000003</v>
      </c>
      <c r="H29" s="153">
        <v>19</v>
      </c>
      <c r="I29" s="154">
        <v>7.7040000000000011E-2</v>
      </c>
      <c r="J29" s="155">
        <v>55</v>
      </c>
      <c r="K29" s="154">
        <v>0.31656000000000001</v>
      </c>
      <c r="L29" s="155">
        <v>1</v>
      </c>
      <c r="M29" s="154">
        <v>2.5000000000000001E-3</v>
      </c>
      <c r="N29" s="155">
        <v>23</v>
      </c>
      <c r="O29" s="154">
        <v>3.6270000000000004E-2</v>
      </c>
      <c r="P29" s="153">
        <v>27</v>
      </c>
      <c r="Q29" s="154">
        <v>0.15924000000000002</v>
      </c>
      <c r="R29" s="156">
        <v>71</v>
      </c>
      <c r="S29" s="157">
        <v>0.27312999999999998</v>
      </c>
      <c r="T29" s="7"/>
      <c r="U29" s="62">
        <f t="shared" si="0"/>
        <v>0.27551020408163263</v>
      </c>
    </row>
    <row r="30" spans="1:21" ht="18.95" customHeight="1">
      <c r="A30" s="7"/>
      <c r="B30" s="178" t="s">
        <v>26</v>
      </c>
      <c r="C30" s="148">
        <v>131</v>
      </c>
      <c r="D30" s="149">
        <v>0</v>
      </c>
      <c r="E30" s="150">
        <v>131</v>
      </c>
      <c r="F30" s="151">
        <v>1.0920399999999999</v>
      </c>
      <c r="G30" s="152">
        <v>0.51705000000000001</v>
      </c>
      <c r="H30" s="153">
        <v>47</v>
      </c>
      <c r="I30" s="154">
        <v>4.2209999999999998E-2</v>
      </c>
      <c r="J30" s="155">
        <v>79</v>
      </c>
      <c r="K30" s="154">
        <v>0.44636000000000003</v>
      </c>
      <c r="L30" s="155">
        <v>5</v>
      </c>
      <c r="M30" s="154">
        <v>2.8480000000000002E-2</v>
      </c>
      <c r="N30" s="155">
        <v>0</v>
      </c>
      <c r="O30" s="154">
        <v>0</v>
      </c>
      <c r="P30" s="153">
        <v>52</v>
      </c>
      <c r="Q30" s="154">
        <v>0.42124</v>
      </c>
      <c r="R30" s="156">
        <v>79</v>
      </c>
      <c r="S30" s="157">
        <v>9.5810000000000006E-2</v>
      </c>
      <c r="T30" s="7"/>
      <c r="U30" s="62">
        <f t="shared" si="0"/>
        <v>0.39694656488549618</v>
      </c>
    </row>
    <row r="31" spans="1:21" ht="18.95" customHeight="1">
      <c r="A31" s="7"/>
      <c r="B31" s="178" t="s">
        <v>27</v>
      </c>
      <c r="C31" s="148">
        <v>2</v>
      </c>
      <c r="D31" s="149">
        <v>0</v>
      </c>
      <c r="E31" s="150">
        <v>2</v>
      </c>
      <c r="F31" s="151">
        <v>1.0500000000000001E-2</v>
      </c>
      <c r="G31" s="152">
        <v>5.0000000000000001E-3</v>
      </c>
      <c r="H31" s="153">
        <v>0</v>
      </c>
      <c r="I31" s="154">
        <v>0</v>
      </c>
      <c r="J31" s="155">
        <v>2</v>
      </c>
      <c r="K31" s="154">
        <v>5.0000000000000001E-3</v>
      </c>
      <c r="L31" s="155">
        <v>0</v>
      </c>
      <c r="M31" s="154">
        <v>0</v>
      </c>
      <c r="N31" s="155">
        <v>0</v>
      </c>
      <c r="O31" s="154">
        <v>0</v>
      </c>
      <c r="P31" s="153">
        <v>0</v>
      </c>
      <c r="Q31" s="154">
        <v>0</v>
      </c>
      <c r="R31" s="156">
        <v>2</v>
      </c>
      <c r="S31" s="157">
        <v>5.0000000000000001E-3</v>
      </c>
      <c r="T31" s="7"/>
      <c r="U31" s="62">
        <f t="shared" si="0"/>
        <v>0</v>
      </c>
    </row>
    <row r="32" spans="1:21" ht="18.95" customHeight="1">
      <c r="A32" s="7"/>
      <c r="B32" s="178" t="s">
        <v>28</v>
      </c>
      <c r="C32" s="148">
        <v>72</v>
      </c>
      <c r="D32" s="149">
        <v>3</v>
      </c>
      <c r="E32" s="150">
        <v>69</v>
      </c>
      <c r="F32" s="151">
        <v>0.90329999999999999</v>
      </c>
      <c r="G32" s="152">
        <v>0.71511999999999998</v>
      </c>
      <c r="H32" s="153">
        <v>41</v>
      </c>
      <c r="I32" s="154">
        <v>0.46547000000000005</v>
      </c>
      <c r="J32" s="155">
        <v>23</v>
      </c>
      <c r="K32" s="154">
        <v>0.22947999999999999</v>
      </c>
      <c r="L32" s="155">
        <v>5</v>
      </c>
      <c r="M32" s="154">
        <v>2.017E-2</v>
      </c>
      <c r="N32" s="155">
        <v>0</v>
      </c>
      <c r="O32" s="154">
        <v>0</v>
      </c>
      <c r="P32" s="153">
        <v>66</v>
      </c>
      <c r="Q32" s="154">
        <v>0.66761999999999999</v>
      </c>
      <c r="R32" s="156">
        <v>3</v>
      </c>
      <c r="S32" s="157">
        <v>4.7500000000000001E-2</v>
      </c>
      <c r="T32" s="7"/>
      <c r="U32" s="62">
        <f t="shared" si="0"/>
        <v>0.95652173913043481</v>
      </c>
    </row>
    <row r="33" spans="1:21" ht="18.95" customHeight="1">
      <c r="A33" s="7"/>
      <c r="B33" s="178" t="s">
        <v>29</v>
      </c>
      <c r="C33" s="148">
        <v>73</v>
      </c>
      <c r="D33" s="149">
        <v>2</v>
      </c>
      <c r="E33" s="150">
        <v>71</v>
      </c>
      <c r="F33" s="151">
        <v>2.9258200000000003</v>
      </c>
      <c r="G33" s="152">
        <v>0.50361999999999996</v>
      </c>
      <c r="H33" s="153">
        <v>13</v>
      </c>
      <c r="I33" s="154">
        <v>0.26766000000000001</v>
      </c>
      <c r="J33" s="155">
        <v>58</v>
      </c>
      <c r="K33" s="154">
        <v>0.23596</v>
      </c>
      <c r="L33" s="155">
        <v>0</v>
      </c>
      <c r="M33" s="154">
        <v>0</v>
      </c>
      <c r="N33" s="155">
        <v>0</v>
      </c>
      <c r="O33" s="154">
        <v>0</v>
      </c>
      <c r="P33" s="153">
        <v>4</v>
      </c>
      <c r="Q33" s="154">
        <v>8.6069999999999994E-2</v>
      </c>
      <c r="R33" s="156">
        <v>67</v>
      </c>
      <c r="S33" s="157">
        <v>0.41755000000000003</v>
      </c>
      <c r="T33" s="7"/>
      <c r="U33" s="62">
        <f t="shared" si="0"/>
        <v>5.6338028169014086E-2</v>
      </c>
    </row>
    <row r="34" spans="1:21" ht="18.95" customHeight="1">
      <c r="A34" s="7"/>
      <c r="B34" s="178" t="s">
        <v>37</v>
      </c>
      <c r="C34" s="148">
        <v>18</v>
      </c>
      <c r="D34" s="149">
        <v>0</v>
      </c>
      <c r="E34" s="150">
        <v>18</v>
      </c>
      <c r="F34" s="151">
        <v>0.30493999999999999</v>
      </c>
      <c r="G34" s="152">
        <v>0.10285</v>
      </c>
      <c r="H34" s="153">
        <v>3</v>
      </c>
      <c r="I34" s="154">
        <v>2.3999999999999998E-4</v>
      </c>
      <c r="J34" s="155">
        <v>15</v>
      </c>
      <c r="K34" s="154">
        <v>0.10260999999999999</v>
      </c>
      <c r="L34" s="155">
        <v>0</v>
      </c>
      <c r="M34" s="154">
        <v>0</v>
      </c>
      <c r="N34" s="155">
        <v>0</v>
      </c>
      <c r="O34" s="154">
        <v>0</v>
      </c>
      <c r="P34" s="153">
        <v>5</v>
      </c>
      <c r="Q34" s="154">
        <v>1.585E-2</v>
      </c>
      <c r="R34" s="156">
        <v>13</v>
      </c>
      <c r="S34" s="157">
        <v>8.6999999999999994E-2</v>
      </c>
      <c r="T34" s="7"/>
      <c r="U34" s="62">
        <f t="shared" si="0"/>
        <v>0.27777777777777779</v>
      </c>
    </row>
    <row r="35" spans="1:21" ht="18.95" customHeight="1">
      <c r="A35" s="7"/>
      <c r="B35" s="178" t="s">
        <v>30</v>
      </c>
      <c r="C35" s="148">
        <v>66</v>
      </c>
      <c r="D35" s="149">
        <v>6</v>
      </c>
      <c r="E35" s="150">
        <v>60</v>
      </c>
      <c r="F35" s="151">
        <v>0.42949599999999988</v>
      </c>
      <c r="G35" s="152">
        <v>0.38339000000000001</v>
      </c>
      <c r="H35" s="153">
        <v>27</v>
      </c>
      <c r="I35" s="154">
        <v>0.21364</v>
      </c>
      <c r="J35" s="155">
        <v>31</v>
      </c>
      <c r="K35" s="154">
        <v>0.16716</v>
      </c>
      <c r="L35" s="155">
        <v>2</v>
      </c>
      <c r="M35" s="154">
        <v>2.5899999999999999E-3</v>
      </c>
      <c r="N35" s="155">
        <v>0</v>
      </c>
      <c r="O35" s="154">
        <v>0</v>
      </c>
      <c r="P35" s="153">
        <v>6</v>
      </c>
      <c r="Q35" s="154">
        <v>0.10274999999999999</v>
      </c>
      <c r="R35" s="156">
        <v>54</v>
      </c>
      <c r="S35" s="157">
        <v>0.28064700000000004</v>
      </c>
      <c r="T35" s="7"/>
      <c r="U35" s="62">
        <f t="shared" si="0"/>
        <v>0.1</v>
      </c>
    </row>
    <row r="36" spans="1:21" ht="18.95" customHeight="1">
      <c r="A36" s="7"/>
      <c r="B36" s="178" t="s">
        <v>38</v>
      </c>
      <c r="C36" s="148">
        <v>48</v>
      </c>
      <c r="D36" s="149">
        <v>4</v>
      </c>
      <c r="E36" s="150">
        <v>44</v>
      </c>
      <c r="F36" s="151">
        <v>1.6777</v>
      </c>
      <c r="G36" s="152">
        <v>0.85109000000000001</v>
      </c>
      <c r="H36" s="153">
        <v>16</v>
      </c>
      <c r="I36" s="154">
        <v>0.15936</v>
      </c>
      <c r="J36" s="155">
        <v>26</v>
      </c>
      <c r="K36" s="154">
        <v>0.69076000000000004</v>
      </c>
      <c r="L36" s="155">
        <v>2</v>
      </c>
      <c r="M36" s="154">
        <v>9.6999999999999994E-4</v>
      </c>
      <c r="N36" s="155">
        <v>0</v>
      </c>
      <c r="O36" s="154">
        <v>0</v>
      </c>
      <c r="P36" s="153">
        <v>36</v>
      </c>
      <c r="Q36" s="154">
        <v>0.77551999999999999</v>
      </c>
      <c r="R36" s="156">
        <v>8</v>
      </c>
      <c r="S36" s="157">
        <v>7.5569999999999998E-2</v>
      </c>
      <c r="T36" s="7"/>
      <c r="U36" s="62">
        <f t="shared" si="0"/>
        <v>0.81818181818181823</v>
      </c>
    </row>
    <row r="37" spans="1:21" ht="18.95" customHeight="1">
      <c r="A37" s="7"/>
      <c r="B37" s="178" t="s">
        <v>32</v>
      </c>
      <c r="C37" s="148">
        <v>109</v>
      </c>
      <c r="D37" s="149">
        <v>4</v>
      </c>
      <c r="E37" s="150">
        <v>105</v>
      </c>
      <c r="F37" s="151">
        <v>0.32722000000000001</v>
      </c>
      <c r="G37" s="152">
        <v>0.36269999999999997</v>
      </c>
      <c r="H37" s="153">
        <v>22</v>
      </c>
      <c r="I37" s="154">
        <v>8.6499999999999997E-3</v>
      </c>
      <c r="J37" s="155">
        <v>75</v>
      </c>
      <c r="K37" s="154">
        <v>0.32630999999999999</v>
      </c>
      <c r="L37" s="155">
        <v>5</v>
      </c>
      <c r="M37" s="154">
        <v>5.9800000000000001E-3</v>
      </c>
      <c r="N37" s="155">
        <v>3</v>
      </c>
      <c r="O37" s="154">
        <v>2.1760000000000002E-2</v>
      </c>
      <c r="P37" s="153">
        <v>33</v>
      </c>
      <c r="Q37" s="154">
        <v>0.13777</v>
      </c>
      <c r="R37" s="156">
        <v>72</v>
      </c>
      <c r="S37" s="157">
        <v>0.22493000000000002</v>
      </c>
      <c r="T37" s="7"/>
      <c r="U37" s="62">
        <f t="shared" si="0"/>
        <v>0.31428571428571428</v>
      </c>
    </row>
    <row r="38" spans="1:21" ht="18.95" customHeight="1">
      <c r="A38" s="7"/>
      <c r="B38" s="178" t="s">
        <v>33</v>
      </c>
      <c r="C38" s="148">
        <v>166</v>
      </c>
      <c r="D38" s="149">
        <v>5</v>
      </c>
      <c r="E38" s="150">
        <v>161</v>
      </c>
      <c r="F38" s="151">
        <v>11.512540000000001</v>
      </c>
      <c r="G38" s="152">
        <v>8.6259300000000003</v>
      </c>
      <c r="H38" s="153">
        <v>90</v>
      </c>
      <c r="I38" s="154">
        <v>3.9582199999999998</v>
      </c>
      <c r="J38" s="155">
        <v>69</v>
      </c>
      <c r="K38" s="154">
        <v>4.3173599999999999</v>
      </c>
      <c r="L38" s="155">
        <v>2</v>
      </c>
      <c r="M38" s="154">
        <v>0.35035000000000005</v>
      </c>
      <c r="N38" s="155">
        <v>0</v>
      </c>
      <c r="O38" s="154">
        <v>0</v>
      </c>
      <c r="P38" s="153">
        <v>70</v>
      </c>
      <c r="Q38" s="154">
        <v>3.4345300000000001</v>
      </c>
      <c r="R38" s="156">
        <v>91</v>
      </c>
      <c r="S38" s="157">
        <v>5.1913999999999998</v>
      </c>
      <c r="T38" s="7"/>
      <c r="U38" s="62">
        <f t="shared" si="0"/>
        <v>0.43478260869565216</v>
      </c>
    </row>
    <row r="39" spans="1:21" ht="18.95" customHeight="1">
      <c r="A39" s="7"/>
      <c r="B39" s="178" t="s">
        <v>34</v>
      </c>
      <c r="C39" s="148">
        <v>72</v>
      </c>
      <c r="D39" s="149">
        <v>10</v>
      </c>
      <c r="E39" s="150">
        <v>62</v>
      </c>
      <c r="F39" s="151">
        <v>0.14029</v>
      </c>
      <c r="G39" s="152">
        <v>9.6959999999999991E-2</v>
      </c>
      <c r="H39" s="153">
        <v>6</v>
      </c>
      <c r="I39" s="154">
        <v>2.1010000000000001E-2</v>
      </c>
      <c r="J39" s="155">
        <v>56</v>
      </c>
      <c r="K39" s="154">
        <v>7.5950000000000004E-2</v>
      </c>
      <c r="L39" s="155">
        <v>0</v>
      </c>
      <c r="M39" s="154">
        <v>0</v>
      </c>
      <c r="N39" s="155">
        <v>0</v>
      </c>
      <c r="O39" s="154">
        <v>0</v>
      </c>
      <c r="P39" s="153">
        <v>0</v>
      </c>
      <c r="Q39" s="154">
        <v>0</v>
      </c>
      <c r="R39" s="156">
        <v>62</v>
      </c>
      <c r="S39" s="157">
        <v>9.6959999999999991E-2</v>
      </c>
      <c r="T39" s="7"/>
      <c r="U39" s="62">
        <f t="shared" si="0"/>
        <v>0</v>
      </c>
    </row>
    <row r="40" spans="1:21" ht="18.95" customHeight="1" thickBot="1">
      <c r="A40" s="7"/>
      <c r="B40" s="179" t="s">
        <v>35</v>
      </c>
      <c r="C40" s="158">
        <v>8</v>
      </c>
      <c r="D40" s="159">
        <v>0</v>
      </c>
      <c r="E40" s="160">
        <v>8</v>
      </c>
      <c r="F40" s="161">
        <v>0.15580000000000002</v>
      </c>
      <c r="G40" s="162">
        <v>4.6556E-2</v>
      </c>
      <c r="H40" s="163">
        <v>1</v>
      </c>
      <c r="I40" s="164">
        <v>5.7899999999999998E-4</v>
      </c>
      <c r="J40" s="165">
        <v>7</v>
      </c>
      <c r="K40" s="164">
        <v>4.5976999999999997E-2</v>
      </c>
      <c r="L40" s="165">
        <v>0</v>
      </c>
      <c r="M40" s="164">
        <v>0</v>
      </c>
      <c r="N40" s="165">
        <v>0</v>
      </c>
      <c r="O40" s="164">
        <v>0</v>
      </c>
      <c r="P40" s="163">
        <v>7</v>
      </c>
      <c r="Q40" s="164">
        <v>4.4355999999999993E-2</v>
      </c>
      <c r="R40" s="166">
        <v>1</v>
      </c>
      <c r="S40" s="167">
        <v>2.2000000000000001E-3</v>
      </c>
      <c r="T40" s="7"/>
      <c r="U40" s="62">
        <f t="shared" si="0"/>
        <v>0.875</v>
      </c>
    </row>
    <row r="41" spans="1:21" ht="18.95" customHeight="1" thickTop="1" thickBot="1">
      <c r="A41" s="7"/>
      <c r="B41" s="129" t="s">
        <v>52</v>
      </c>
      <c r="C41" s="168">
        <f t="shared" ref="C41:S41" si="1">SUM(C9:C40)</f>
        <v>1906</v>
      </c>
      <c r="D41" s="169">
        <f t="shared" si="1"/>
        <v>85</v>
      </c>
      <c r="E41" s="170">
        <f t="shared" si="1"/>
        <v>1821</v>
      </c>
      <c r="F41" s="171">
        <f t="shared" si="1"/>
        <v>40.223053600000007</v>
      </c>
      <c r="G41" s="172">
        <f t="shared" si="1"/>
        <v>26.817767</v>
      </c>
      <c r="H41" s="168">
        <f t="shared" si="1"/>
        <v>690</v>
      </c>
      <c r="I41" s="173">
        <f t="shared" si="1"/>
        <v>8.5198790000000013</v>
      </c>
      <c r="J41" s="174">
        <f t="shared" si="1"/>
        <v>1037</v>
      </c>
      <c r="K41" s="173">
        <f t="shared" si="1"/>
        <v>17.564688000000004</v>
      </c>
      <c r="L41" s="174">
        <f t="shared" si="1"/>
        <v>68</v>
      </c>
      <c r="M41" s="173">
        <f t="shared" si="1"/>
        <v>0.67517000000000005</v>
      </c>
      <c r="N41" s="174">
        <f t="shared" si="1"/>
        <v>26</v>
      </c>
      <c r="O41" s="173">
        <f t="shared" si="1"/>
        <v>5.8030000000000005E-2</v>
      </c>
      <c r="P41" s="168">
        <f t="shared" si="1"/>
        <v>826</v>
      </c>
      <c r="Q41" s="173">
        <f t="shared" si="1"/>
        <v>15.581063600000002</v>
      </c>
      <c r="R41" s="175">
        <f t="shared" si="1"/>
        <v>995</v>
      </c>
      <c r="S41" s="176">
        <f t="shared" si="1"/>
        <v>11.236706999999999</v>
      </c>
      <c r="T41" s="7"/>
    </row>
    <row r="42" spans="1:21" ht="6" customHeight="1" thickTop="1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7"/>
    </row>
    <row r="43" spans="1:21" ht="9.75" customHeight="1">
      <c r="A43" s="7"/>
      <c r="B43" s="1109" t="s">
        <v>94</v>
      </c>
      <c r="C43" s="1109"/>
      <c r="D43" s="1109"/>
      <c r="E43" s="1109"/>
      <c r="F43" s="1109"/>
      <c r="G43" s="1109"/>
      <c r="H43" s="1109"/>
      <c r="I43" s="1109"/>
      <c r="J43" s="1109"/>
      <c r="K43" s="1109"/>
      <c r="L43" s="1109"/>
      <c r="M43" s="1109"/>
      <c r="N43" s="1109"/>
      <c r="O43" s="1109"/>
      <c r="P43" s="1109"/>
      <c r="Q43" s="1109"/>
      <c r="R43" s="1109"/>
      <c r="S43" s="1109"/>
      <c r="T43" s="7"/>
    </row>
    <row r="44" spans="1:21" ht="9.75" customHeight="1">
      <c r="A44" s="7"/>
      <c r="B44" s="1109" t="s">
        <v>95</v>
      </c>
      <c r="C44" s="1388"/>
      <c r="D44" s="1388"/>
      <c r="E44" s="1388"/>
      <c r="F44" s="1388"/>
      <c r="G44" s="1388"/>
      <c r="H44" s="1388"/>
      <c r="I44" s="1388"/>
      <c r="J44" s="1388"/>
      <c r="K44" s="1388"/>
      <c r="L44" s="1388"/>
      <c r="M44" s="1388"/>
      <c r="N44" s="1388"/>
      <c r="O44" s="1388"/>
      <c r="P44" s="1388"/>
      <c r="Q44" s="1388"/>
      <c r="R44" s="1388"/>
      <c r="S44" s="1388"/>
      <c r="T44" s="7"/>
      <c r="U44" s="42"/>
    </row>
    <row r="45" spans="1:21" ht="13.5">
      <c r="A45" s="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7"/>
    </row>
    <row r="49" spans="16:16">
      <c r="P49" s="27">
        <f>+P41/E41</f>
        <v>0.45359692476661173</v>
      </c>
    </row>
  </sheetData>
  <customSheetViews>
    <customSheetView guid="{E9B43C8C-734F-433D-AD37-344F9303B5CC}" showPageBreaks="1" showGridLines="0" fitToPage="1" state="hidden" showRuler="0">
      <pane xSplit="9" ySplit="14" topLeftCell="K36"/>
      <pageMargins left="0.19685039370078741" right="0.19685039370078741" top="0.78740157480314965" bottom="0.59055118110236227" header="0" footer="0.39370078740157483"/>
      <printOptions horizontalCentered="1"/>
      <pageSetup scale="63" orientation="landscape" r:id="rId1"/>
      <headerFooter alignWithMargins="0"/>
    </customSheetView>
    <customSheetView guid="{9BF398E0-33D8-4E64-94A2-9B7C822C8383}" showGridLines="0" fitToPage="1" state="hidden" showRuler="0">
      <pane xSplit="9" ySplit="14" topLeftCell="K36"/>
      <pageMargins left="0.19685039370078741" right="0.19685039370078741" top="0.78740157480314965" bottom="0.59055118110236227" header="0" footer="0.39370078740157483"/>
      <printOptions horizontalCentered="1"/>
      <pageSetup scale="61" orientation="landscape" r:id="rId2"/>
      <headerFooter alignWithMargins="0"/>
    </customSheetView>
    <customSheetView guid="{6DCFE324-2DF9-4BB0-88BD-A4AD316C7A9E}" showGridLines="0" fitToPage="1" state="hidden" showRuler="0">
      <pane xSplit="9" ySplit="14" topLeftCell="K36"/>
      <pageMargins left="0.19685039370078741" right="0.19685039370078741" top="0.78740157480314965" bottom="0.59055118110236227" header="0" footer="0.39370078740157483"/>
      <printOptions horizontalCentered="1"/>
      <pageSetup scale="61" orientation="landscape" r:id="rId3"/>
      <headerFooter alignWithMargins="0"/>
    </customSheetView>
    <customSheetView guid="{48A744A8-8180-4A3B-8108-49EF41816969}" showGridLines="0" fitToPage="1" state="hidden" showRuler="0">
      <pane xSplit="9" ySplit="14" topLeftCell="K36"/>
      <pageMargins left="0.19685039370078741" right="0.19685039370078741" top="0.78740157480314965" bottom="0.59055118110236227" header="0" footer="0.39370078740157483"/>
      <printOptions horizontalCentered="1"/>
      <pageSetup scale="61" orientation="landscape" r:id="rId4"/>
      <headerFooter alignWithMargins="0"/>
    </customSheetView>
    <customSheetView guid="{9E220BD5-A526-40BD-8239-3A0461590922}" showGridLines="0" fitToPage="1" state="hidden" showRuler="0">
      <pane xSplit="9" ySplit="14" topLeftCell="K36"/>
      <pageMargins left="0.19685039370078741" right="0.19685039370078741" top="0.78740157480314965" bottom="0.59055118110236227" header="0" footer="0.39370078740157483"/>
      <printOptions horizontalCentered="1"/>
      <pageSetup scale="61" orientation="landscape" r:id="rId5"/>
      <headerFooter alignWithMargins="0"/>
    </customSheetView>
  </customSheetViews>
  <mergeCells count="8">
    <mergeCell ref="B5:B7"/>
    <mergeCell ref="B43:S43"/>
    <mergeCell ref="B44:S44"/>
    <mergeCell ref="D6:D7"/>
    <mergeCell ref="E6:E7"/>
    <mergeCell ref="F6:F7"/>
    <mergeCell ref="G6:G7"/>
    <mergeCell ref="C6:C7"/>
  </mergeCells>
  <phoneticPr fontId="9" type="noConversion"/>
  <printOptions horizontalCentered="1"/>
  <pageMargins left="0.19685039370078741" right="0.19685039370078741" top="0.78740157480314965" bottom="0.59055118110236227" header="0" footer="0.39370078740157483"/>
  <pageSetup scale="61" orientation="landscape" r:id="rId6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D8C57E"/>
  </sheetPr>
  <dimension ref="B2:D47"/>
  <sheetViews>
    <sheetView showGridLines="0" topLeftCell="A8" workbookViewId="0">
      <selection activeCell="J16" sqref="J16"/>
    </sheetView>
  </sheetViews>
  <sheetFormatPr baseColWidth="10" defaultRowHeight="12.75"/>
  <cols>
    <col min="1" max="1" width="3" customWidth="1"/>
    <col min="2" max="2" width="27" bestFit="1" customWidth="1"/>
    <col min="3" max="3" width="16.140625" bestFit="1" customWidth="1"/>
    <col min="4" max="4" width="14.7109375" customWidth="1"/>
    <col min="8" max="8" width="3" customWidth="1"/>
  </cols>
  <sheetData>
    <row r="2" spans="2:4" ht="1.5" customHeight="1">
      <c r="B2" s="263"/>
      <c r="C2" s="693" t="s">
        <v>61</v>
      </c>
      <c r="D2" s="693" t="s">
        <v>201</v>
      </c>
    </row>
    <row r="3" spans="2:4" ht="1.5" customHeight="1">
      <c r="B3" s="655" t="s">
        <v>501</v>
      </c>
      <c r="C3" s="694">
        <v>731</v>
      </c>
      <c r="D3" s="999">
        <f>C3/$C$7</f>
        <v>0.3344007319304666</v>
      </c>
    </row>
    <row r="4" spans="2:4" ht="1.5" customHeight="1">
      <c r="B4" s="655" t="s">
        <v>502</v>
      </c>
      <c r="C4" s="694">
        <v>1193</v>
      </c>
      <c r="D4" s="999">
        <f t="shared" ref="D4:D6" si="0">C4/$C$7</f>
        <v>0.54574565416285448</v>
      </c>
    </row>
    <row r="5" spans="2:4" ht="1.5" customHeight="1">
      <c r="B5" s="655" t="s">
        <v>503</v>
      </c>
      <c r="C5" s="694">
        <v>88</v>
      </c>
      <c r="D5" s="999">
        <f t="shared" si="0"/>
        <v>4.0256175663311987E-2</v>
      </c>
    </row>
    <row r="6" spans="2:4" ht="1.5" customHeight="1">
      <c r="B6" s="655" t="s">
        <v>356</v>
      </c>
      <c r="C6" s="694">
        <v>174</v>
      </c>
      <c r="D6" s="999">
        <f t="shared" si="0"/>
        <v>7.9597438243366875E-2</v>
      </c>
    </row>
    <row r="7" spans="2:4" ht="1.5" customHeight="1">
      <c r="B7" s="263"/>
      <c r="C7" s="695">
        <f>SUM(C3:C6)</f>
        <v>2186</v>
      </c>
      <c r="D7" s="1000">
        <v>1</v>
      </c>
    </row>
    <row r="9" spans="2:4" ht="13.5" thickBot="1"/>
    <row r="10" spans="2:4" ht="13.5" thickTop="1">
      <c r="B10" s="1399" t="s">
        <v>504</v>
      </c>
      <c r="C10" s="1400"/>
      <c r="D10" s="1401"/>
    </row>
    <row r="11" spans="2:4" ht="42.75" customHeight="1" thickBot="1">
      <c r="B11" s="1402"/>
      <c r="C11" s="1403"/>
      <c r="D11" s="1404"/>
    </row>
    <row r="12" spans="2:4">
      <c r="B12" s="696"/>
      <c r="C12" s="12"/>
      <c r="D12" s="697"/>
    </row>
    <row r="13" spans="2:4">
      <c r="B13" s="696"/>
      <c r="C13" s="12"/>
      <c r="D13" s="697"/>
    </row>
    <row r="14" spans="2:4">
      <c r="B14" s="696"/>
      <c r="C14" s="12"/>
      <c r="D14" s="697"/>
    </row>
    <row r="15" spans="2:4">
      <c r="B15" s="696"/>
      <c r="C15" s="12"/>
      <c r="D15" s="697"/>
    </row>
    <row r="16" spans="2:4">
      <c r="B16" s="696"/>
      <c r="C16" s="12"/>
      <c r="D16" s="697"/>
    </row>
    <row r="17" spans="2:4">
      <c r="B17" s="696"/>
      <c r="C17" s="12"/>
      <c r="D17" s="697"/>
    </row>
    <row r="18" spans="2:4">
      <c r="B18" s="696"/>
      <c r="C18" s="12"/>
      <c r="D18" s="697"/>
    </row>
    <row r="19" spans="2:4">
      <c r="B19" s="696"/>
      <c r="C19" s="12"/>
      <c r="D19" s="697"/>
    </row>
    <row r="20" spans="2:4">
      <c r="B20" s="696"/>
      <c r="C20" s="12"/>
      <c r="D20" s="697"/>
    </row>
    <row r="21" spans="2:4">
      <c r="B21" s="696"/>
      <c r="C21" s="12"/>
      <c r="D21" s="697"/>
    </row>
    <row r="22" spans="2:4">
      <c r="B22" s="698"/>
      <c r="C22" s="12"/>
      <c r="D22" s="697"/>
    </row>
    <row r="23" spans="2:4">
      <c r="B23" s="696"/>
      <c r="C23" s="12"/>
      <c r="D23" s="697"/>
    </row>
    <row r="24" spans="2:4">
      <c r="B24" s="696"/>
      <c r="C24" s="12"/>
      <c r="D24" s="697"/>
    </row>
    <row r="25" spans="2:4">
      <c r="B25" s="696"/>
      <c r="C25" s="12"/>
      <c r="D25" s="697"/>
    </row>
    <row r="26" spans="2:4">
      <c r="B26" s="696"/>
      <c r="C26" s="12"/>
      <c r="D26" s="697"/>
    </row>
    <row r="27" spans="2:4">
      <c r="B27" s="696"/>
      <c r="C27" s="12"/>
      <c r="D27" s="697"/>
    </row>
    <row r="28" spans="2:4">
      <c r="B28" s="696"/>
      <c r="C28" s="12"/>
      <c r="D28" s="697"/>
    </row>
    <row r="29" spans="2:4">
      <c r="B29" s="698"/>
      <c r="C29" s="12"/>
      <c r="D29" s="697"/>
    </row>
    <row r="30" spans="2:4">
      <c r="B30" s="696"/>
      <c r="C30" s="12"/>
      <c r="D30" s="697"/>
    </row>
    <row r="31" spans="2:4">
      <c r="B31" s="696"/>
      <c r="C31" s="12"/>
      <c r="D31" s="697"/>
    </row>
    <row r="32" spans="2:4">
      <c r="B32" s="699"/>
      <c r="C32" s="12"/>
      <c r="D32" s="697"/>
    </row>
    <row r="33" spans="2:4" ht="13.5" thickBot="1">
      <c r="B33" s="700"/>
      <c r="C33" s="701"/>
      <c r="D33" s="702"/>
    </row>
    <row r="34" spans="2:4" ht="13.5" thickTop="1">
      <c r="B34" s="875" t="s">
        <v>590</v>
      </c>
    </row>
    <row r="47" spans="2:4">
      <c r="B47" s="242"/>
    </row>
  </sheetData>
  <sheetProtection password="CF4C" sheet="1" insertHyperlinks="0" deleteColumns="0" deleteRows="0" sort="0" autoFilter="0" pivotTables="0"/>
  <mergeCells count="1">
    <mergeCell ref="B10:D11"/>
  </mergeCells>
  <printOptions horizontalCentered="1"/>
  <pageMargins left="0.39370078740157483" right="0.39370078740157483" top="0.59055118110236227" bottom="0.59055118110236227" header="0.19685039370078741" footer="0.19685039370078741"/>
  <pageSetup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6"/>
  <sheetViews>
    <sheetView showGridLines="0" workbookViewId="0">
      <selection activeCell="N30" sqref="N30"/>
    </sheetView>
  </sheetViews>
  <sheetFormatPr baseColWidth="10" defaultRowHeight="12.75"/>
  <cols>
    <col min="1" max="1" width="2.42578125" customWidth="1"/>
    <col min="2" max="2" width="20.7109375" customWidth="1"/>
    <col min="3" max="3" width="10.7109375" customWidth="1"/>
    <col min="4" max="4" width="9.7109375" style="21" customWidth="1"/>
    <col min="5" max="7" width="16.7109375" hidden="1" customWidth="1"/>
    <col min="8" max="8" width="10.42578125" customWidth="1"/>
    <col min="9" max="9" width="11.7109375" customWidth="1"/>
    <col min="10" max="10" width="1.7109375" customWidth="1"/>
  </cols>
  <sheetData>
    <row r="1" spans="1:15" s="46" customFormat="1" ht="12" customHeight="1">
      <c r="A1" s="261"/>
      <c r="B1" s="259"/>
      <c r="C1" s="259"/>
      <c r="D1" s="300"/>
      <c r="E1" s="260"/>
      <c r="F1" s="260"/>
      <c r="G1" s="260"/>
      <c r="H1" s="260"/>
      <c r="I1" s="260"/>
      <c r="J1" s="261"/>
    </row>
    <row r="2" spans="1:15" ht="35.25" customHeight="1" thickBot="1">
      <c r="A2" s="263"/>
      <c r="B2" s="1098" t="s">
        <v>357</v>
      </c>
      <c r="C2" s="1098"/>
      <c r="D2" s="1098"/>
      <c r="E2" s="1098"/>
      <c r="F2" s="1098"/>
      <c r="G2" s="1098"/>
      <c r="H2" s="1098"/>
      <c r="I2" s="1098"/>
      <c r="J2" s="263"/>
    </row>
    <row r="3" spans="1:15" ht="45.75" customHeight="1" thickBot="1">
      <c r="A3" s="263"/>
      <c r="B3" s="1405" t="s">
        <v>359</v>
      </c>
      <c r="C3" s="1407" t="s">
        <v>358</v>
      </c>
      <c r="D3" s="1408"/>
      <c r="E3" s="326" t="s">
        <v>39</v>
      </c>
      <c r="F3" s="326"/>
      <c r="G3" s="326"/>
      <c r="H3" s="1409" t="s">
        <v>238</v>
      </c>
      <c r="I3" s="1409" t="s">
        <v>51</v>
      </c>
      <c r="J3" s="263"/>
      <c r="K3" s="12"/>
      <c r="L3" s="12"/>
      <c r="M3" s="12"/>
      <c r="N3" s="12"/>
      <c r="O3" s="12"/>
    </row>
    <row r="4" spans="1:15" ht="28.5" customHeight="1" thickBot="1">
      <c r="A4" s="263"/>
      <c r="B4" s="1406"/>
      <c r="C4" s="415">
        <v>2008</v>
      </c>
      <c r="D4" s="415">
        <v>2009</v>
      </c>
      <c r="E4" s="325" t="s">
        <v>40</v>
      </c>
      <c r="F4" s="325" t="s">
        <v>41</v>
      </c>
      <c r="G4" s="325" t="s">
        <v>42</v>
      </c>
      <c r="H4" s="1409"/>
      <c r="I4" s="1409"/>
      <c r="J4" s="263"/>
      <c r="K4" s="12"/>
      <c r="L4" s="12"/>
      <c r="M4" s="12"/>
      <c r="N4" s="12"/>
      <c r="O4" s="12"/>
    </row>
    <row r="5" spans="1:15" ht="13.5" thickBot="1">
      <c r="B5" s="424" t="s">
        <v>140</v>
      </c>
      <c r="C5" s="505">
        <v>6.27</v>
      </c>
      <c r="D5" s="505">
        <v>8.65</v>
      </c>
      <c r="E5" s="396"/>
      <c r="F5" s="395"/>
      <c r="G5" s="417"/>
      <c r="H5" s="506">
        <v>2.3800000000000008</v>
      </c>
      <c r="I5" s="505">
        <v>37.958532695374814</v>
      </c>
    </row>
    <row r="6" spans="1:15" ht="13.5" thickBot="1">
      <c r="B6" s="425" t="s">
        <v>6</v>
      </c>
      <c r="C6" s="507">
        <v>14.29</v>
      </c>
      <c r="D6" s="507">
        <v>15.36</v>
      </c>
      <c r="E6" s="399"/>
      <c r="F6" s="398"/>
      <c r="G6" s="418"/>
      <c r="H6" s="506">
        <v>1.0700000000000003</v>
      </c>
      <c r="I6" s="507">
        <v>7.4877536738978234</v>
      </c>
    </row>
    <row r="7" spans="1:15" ht="13.5" thickBot="1">
      <c r="B7" s="424" t="s">
        <v>474</v>
      </c>
      <c r="C7" s="505">
        <v>11.04</v>
      </c>
      <c r="D7" s="505">
        <v>11.9</v>
      </c>
      <c r="E7" s="396"/>
      <c r="F7" s="395"/>
      <c r="G7" s="417"/>
      <c r="H7" s="506">
        <v>0.86000000000000121</v>
      </c>
      <c r="I7" s="505">
        <v>7.7898550724637694</v>
      </c>
    </row>
    <row r="8" spans="1:15" ht="13.5" thickBot="1">
      <c r="B8" s="425" t="s">
        <v>9</v>
      </c>
      <c r="C8" s="507">
        <v>1.6</v>
      </c>
      <c r="D8" s="507">
        <v>1.6</v>
      </c>
      <c r="E8" s="399"/>
      <c r="F8" s="398"/>
      <c r="G8" s="418"/>
      <c r="H8" s="506">
        <v>0</v>
      </c>
      <c r="I8" s="507">
        <v>0</v>
      </c>
    </row>
    <row r="9" spans="1:15" ht="13.5" thickBot="1">
      <c r="B9" s="424" t="s">
        <v>145</v>
      </c>
      <c r="C9" s="505">
        <v>5.79</v>
      </c>
      <c r="D9" s="505">
        <v>5.79</v>
      </c>
      <c r="E9" s="396"/>
      <c r="F9" s="395"/>
      <c r="G9" s="417"/>
      <c r="H9" s="506">
        <v>0</v>
      </c>
      <c r="I9" s="505">
        <v>0</v>
      </c>
    </row>
    <row r="10" spans="1:15" ht="13.5" thickBot="1">
      <c r="B10" s="425" t="s">
        <v>125</v>
      </c>
      <c r="C10" s="507">
        <v>5.79</v>
      </c>
      <c r="D10" s="507">
        <v>5.79</v>
      </c>
      <c r="E10" s="399"/>
      <c r="F10" s="398"/>
      <c r="G10" s="418"/>
      <c r="H10" s="506">
        <v>0</v>
      </c>
      <c r="I10" s="507">
        <v>0</v>
      </c>
    </row>
    <row r="11" spans="1:15" ht="13.5" thickBot="1">
      <c r="B11" s="424" t="s">
        <v>11</v>
      </c>
      <c r="C11" s="505">
        <v>3.62</v>
      </c>
      <c r="D11" s="505">
        <v>3.8</v>
      </c>
      <c r="E11" s="396"/>
      <c r="F11" s="395"/>
      <c r="G11" s="417"/>
      <c r="H11" s="506">
        <v>0.17999999999999972</v>
      </c>
      <c r="I11" s="505">
        <v>4.9723756906077332</v>
      </c>
    </row>
    <row r="12" spans="1:15" ht="13.5" thickBot="1">
      <c r="B12" s="425" t="s">
        <v>468</v>
      </c>
      <c r="C12" s="507">
        <v>3.7213333333333334</v>
      </c>
      <c r="D12" s="507">
        <v>3.96</v>
      </c>
      <c r="E12" s="399"/>
      <c r="F12" s="398"/>
      <c r="G12" s="418"/>
      <c r="H12" s="506">
        <v>0.23866666666666658</v>
      </c>
      <c r="I12" s="507">
        <v>6.4134718738803276</v>
      </c>
    </row>
    <row r="13" spans="1:15" ht="13.5" thickBot="1">
      <c r="B13" s="424" t="s">
        <v>235</v>
      </c>
      <c r="C13" s="505">
        <v>4.8899999999999997</v>
      </c>
      <c r="D13" s="505">
        <v>5.13</v>
      </c>
      <c r="E13" s="396"/>
      <c r="F13" s="395"/>
      <c r="G13" s="417"/>
      <c r="H13" s="506">
        <v>0.24000000000000021</v>
      </c>
      <c r="I13" s="505">
        <v>4.9079754601226933</v>
      </c>
    </row>
    <row r="14" spans="1:15" ht="13.5" thickBot="1">
      <c r="B14" s="425" t="s">
        <v>14</v>
      </c>
      <c r="C14" s="507">
        <v>4.9473333333333338</v>
      </c>
      <c r="D14" s="507">
        <v>5.26</v>
      </c>
      <c r="E14" s="399"/>
      <c r="F14" s="398"/>
      <c r="G14" s="418"/>
      <c r="H14" s="506">
        <v>0.31266666666666598</v>
      </c>
      <c r="I14" s="507">
        <v>6.3199029780352856</v>
      </c>
    </row>
    <row r="15" spans="1:15" ht="13.5" thickBot="1">
      <c r="B15" s="424" t="s">
        <v>234</v>
      </c>
      <c r="C15" s="505">
        <v>10.85</v>
      </c>
      <c r="D15" s="505">
        <v>12.07</v>
      </c>
      <c r="E15" s="396"/>
      <c r="F15" s="395"/>
      <c r="G15" s="417"/>
      <c r="H15" s="506">
        <v>1.2200000000000006</v>
      </c>
      <c r="I15" s="505">
        <v>11.244239631336406</v>
      </c>
    </row>
    <row r="16" spans="1:15" ht="13.5" thickBot="1">
      <c r="B16" s="425" t="s">
        <v>471</v>
      </c>
      <c r="C16" s="507">
        <v>6.17</v>
      </c>
      <c r="D16" s="507">
        <v>6.48</v>
      </c>
      <c r="E16" s="399"/>
      <c r="F16" s="398"/>
      <c r="G16" s="418"/>
      <c r="H16" s="506">
        <v>0.3100000000000005</v>
      </c>
      <c r="I16" s="507">
        <v>5.0243111831442588</v>
      </c>
    </row>
    <row r="17" spans="2:9" ht="13.5" thickBot="1">
      <c r="B17" s="424" t="s">
        <v>126</v>
      </c>
      <c r="C17" s="505">
        <v>5.24</v>
      </c>
      <c r="D17" s="505">
        <v>5.56</v>
      </c>
      <c r="E17" s="396"/>
      <c r="F17" s="395"/>
      <c r="G17" s="417"/>
      <c r="H17" s="506">
        <v>0.3199999999999994</v>
      </c>
      <c r="I17" s="505">
        <v>6.1068702290076216</v>
      </c>
    </row>
    <row r="18" spans="2:9" ht="13.5" thickBot="1">
      <c r="B18" s="425" t="s">
        <v>147</v>
      </c>
      <c r="C18" s="507">
        <v>3.6230000000000002</v>
      </c>
      <c r="D18" s="507">
        <v>4.0599999999999996</v>
      </c>
      <c r="E18" s="399"/>
      <c r="F18" s="398"/>
      <c r="G18" s="418"/>
      <c r="H18" s="506">
        <v>0.43699999999999939</v>
      </c>
      <c r="I18" s="507">
        <v>12.061827215015164</v>
      </c>
    </row>
    <row r="19" spans="2:9" ht="13.5" thickBot="1">
      <c r="B19" s="424" t="s">
        <v>137</v>
      </c>
      <c r="C19" s="505">
        <v>3.03</v>
      </c>
      <c r="D19" s="505">
        <v>3.79</v>
      </c>
      <c r="E19" s="396"/>
      <c r="F19" s="395"/>
      <c r="G19" s="417"/>
      <c r="H19" s="506">
        <v>0.76000000000000023</v>
      </c>
      <c r="I19" s="505">
        <v>25.082508250825096</v>
      </c>
    </row>
    <row r="20" spans="2:9" ht="13.5" thickBot="1">
      <c r="B20" s="425" t="s">
        <v>127</v>
      </c>
      <c r="C20" s="507">
        <v>5.78</v>
      </c>
      <c r="D20" s="507">
        <v>6.6</v>
      </c>
      <c r="E20" s="399"/>
      <c r="F20" s="398"/>
      <c r="G20" s="418"/>
      <c r="H20" s="506">
        <v>0.8199999999999994</v>
      </c>
      <c r="I20" s="507">
        <v>14.186851211072661</v>
      </c>
    </row>
    <row r="21" spans="2:9" ht="13.5" thickBot="1">
      <c r="B21" s="424" t="s">
        <v>139</v>
      </c>
      <c r="C21" s="505">
        <v>10.89</v>
      </c>
      <c r="D21" s="505">
        <v>11.7</v>
      </c>
      <c r="E21" s="396"/>
      <c r="F21" s="395"/>
      <c r="G21" s="417"/>
      <c r="H21" s="506">
        <v>0.80999999999999872</v>
      </c>
      <c r="I21" s="505">
        <v>7.4380165289256173</v>
      </c>
    </row>
    <row r="22" spans="2:9" ht="13.5" thickBot="1">
      <c r="B22" s="425" t="s">
        <v>86</v>
      </c>
      <c r="C22" s="507">
        <v>3.36</v>
      </c>
      <c r="D22" s="507">
        <v>3.9</v>
      </c>
      <c r="E22" s="399"/>
      <c r="F22" s="398"/>
      <c r="G22" s="418"/>
      <c r="H22" s="506">
        <v>0.54</v>
      </c>
      <c r="I22" s="507">
        <v>16.07142857142858</v>
      </c>
    </row>
    <row r="23" spans="2:9" ht="13.5" thickBot="1">
      <c r="B23" s="424" t="s">
        <v>81</v>
      </c>
      <c r="C23" s="505">
        <v>3.4706666666666668</v>
      </c>
      <c r="D23" s="505">
        <v>4.03</v>
      </c>
      <c r="E23" s="396"/>
      <c r="F23" s="395"/>
      <c r="G23" s="417"/>
      <c r="H23" s="506">
        <v>0.55933333333333346</v>
      </c>
      <c r="I23" s="505">
        <v>16.116019976949669</v>
      </c>
    </row>
    <row r="24" spans="2:9" ht="13.5" thickBot="1">
      <c r="B24" s="425" t="s">
        <v>473</v>
      </c>
      <c r="C24" s="507">
        <v>6.74</v>
      </c>
      <c r="D24" s="507">
        <v>7.62</v>
      </c>
      <c r="E24" s="399"/>
      <c r="F24" s="398"/>
      <c r="G24" s="418"/>
      <c r="H24" s="506">
        <v>0.87999999999999989</v>
      </c>
      <c r="I24" s="507">
        <v>13.056379821958464</v>
      </c>
    </row>
    <row r="25" spans="2:9" ht="13.5" thickBot="1">
      <c r="B25" s="424" t="s">
        <v>110</v>
      </c>
      <c r="C25" s="505">
        <v>11.85</v>
      </c>
      <c r="D25" s="505">
        <v>15.24</v>
      </c>
      <c r="E25" s="396"/>
      <c r="F25" s="395"/>
      <c r="G25" s="417"/>
      <c r="H25" s="506">
        <v>3.3900000000000006</v>
      </c>
      <c r="I25" s="505">
        <v>28.607594936708857</v>
      </c>
    </row>
    <row r="26" spans="2:9" ht="13.5" thickBot="1">
      <c r="B26" s="425" t="s">
        <v>236</v>
      </c>
      <c r="C26" s="507">
        <v>10.285229648000001</v>
      </c>
      <c r="D26" s="507">
        <v>11.09</v>
      </c>
      <c r="E26" s="399"/>
      <c r="F26" s="398"/>
      <c r="G26" s="418"/>
      <c r="H26" s="506">
        <v>0.80477035199999847</v>
      </c>
      <c r="I26" s="507">
        <v>7.82452487248535</v>
      </c>
    </row>
    <row r="27" spans="2:9" ht="13.5" thickBot="1">
      <c r="B27" s="424" t="s">
        <v>25</v>
      </c>
      <c r="C27" s="505">
        <v>1.62</v>
      </c>
      <c r="D27" s="505">
        <v>2.74</v>
      </c>
      <c r="E27" s="396"/>
      <c r="F27" s="395"/>
      <c r="G27" s="417"/>
      <c r="H27" s="506">
        <v>1.1200000000000001</v>
      </c>
      <c r="I27" s="505">
        <v>69.135802469135797</v>
      </c>
    </row>
    <row r="28" spans="2:9" ht="13.5" thickBot="1">
      <c r="B28" s="425" t="s">
        <v>36</v>
      </c>
      <c r="C28" s="507">
        <v>8.3441540000000014</v>
      </c>
      <c r="D28" s="507">
        <v>9.1999999999999993</v>
      </c>
      <c r="E28" s="399"/>
      <c r="F28" s="398"/>
      <c r="G28" s="418"/>
      <c r="H28" s="506">
        <v>0.85584599999999789</v>
      </c>
      <c r="I28" s="507">
        <v>10.256833706568669</v>
      </c>
    </row>
    <row r="29" spans="2:9" ht="13.5" thickBot="1">
      <c r="B29" s="424" t="s">
        <v>470</v>
      </c>
      <c r="C29" s="505">
        <v>4.8541350000000003</v>
      </c>
      <c r="D29" s="505">
        <v>5.09</v>
      </c>
      <c r="E29" s="396"/>
      <c r="F29" s="395"/>
      <c r="G29" s="417"/>
      <c r="H29" s="506">
        <v>0.23586499999999955</v>
      </c>
      <c r="I29" s="505">
        <v>4.8590531577716645</v>
      </c>
    </row>
    <row r="30" spans="2:9" ht="13.5" thickBot="1">
      <c r="B30" s="425" t="s">
        <v>28</v>
      </c>
      <c r="C30" s="507">
        <v>5.97</v>
      </c>
      <c r="D30" s="507">
        <v>6.95</v>
      </c>
      <c r="E30" s="399"/>
      <c r="F30" s="398"/>
      <c r="G30" s="418"/>
      <c r="H30" s="506">
        <v>0.98000000000000043</v>
      </c>
      <c r="I30" s="507">
        <v>16.415410385259644</v>
      </c>
    </row>
    <row r="31" spans="2:9" ht="13.5" thickBot="1">
      <c r="B31" s="424" t="s">
        <v>87</v>
      </c>
      <c r="C31" s="505">
        <v>13.420333333333334</v>
      </c>
      <c r="D31" s="505">
        <v>14.94</v>
      </c>
      <c r="E31" s="396"/>
      <c r="F31" s="395"/>
      <c r="G31" s="417"/>
      <c r="H31" s="506">
        <v>1.5196666666666658</v>
      </c>
      <c r="I31" s="505">
        <v>11.32361342241872</v>
      </c>
    </row>
    <row r="32" spans="2:9" ht="13.5" thickBot="1">
      <c r="B32" s="425" t="s">
        <v>32</v>
      </c>
      <c r="C32" s="507">
        <v>3.5361666666666665</v>
      </c>
      <c r="D32" s="507">
        <v>4.29</v>
      </c>
      <c r="E32" s="399"/>
      <c r="F32" s="398"/>
      <c r="G32" s="418"/>
      <c r="H32" s="506">
        <v>0.75383333333333358</v>
      </c>
      <c r="I32" s="507">
        <v>21.317811189140802</v>
      </c>
    </row>
    <row r="33" spans="2:9" ht="13.5" thickBot="1">
      <c r="B33" s="424" t="s">
        <v>142</v>
      </c>
      <c r="C33" s="505">
        <v>7.38</v>
      </c>
      <c r="D33" s="505">
        <v>8.01</v>
      </c>
      <c r="E33" s="396"/>
      <c r="F33" s="395"/>
      <c r="G33" s="417"/>
      <c r="H33" s="506">
        <v>0.62999999999999989</v>
      </c>
      <c r="I33" s="505">
        <v>8.5365853658536661</v>
      </c>
    </row>
    <row r="34" spans="2:9" ht="13.5" thickBot="1">
      <c r="B34" s="425" t="s">
        <v>135</v>
      </c>
      <c r="C34" s="507">
        <v>6.01</v>
      </c>
      <c r="D34" s="507">
        <v>6.65</v>
      </c>
      <c r="E34" s="399"/>
      <c r="F34" s="398"/>
      <c r="G34" s="418"/>
      <c r="H34" s="506">
        <v>0.64000000000000057</v>
      </c>
      <c r="I34" s="507">
        <v>10.648918469217982</v>
      </c>
    </row>
    <row r="35" spans="2:9" ht="13.5" thickBot="1">
      <c r="B35" s="424" t="s">
        <v>237</v>
      </c>
      <c r="C35" s="505">
        <v>3.23</v>
      </c>
      <c r="D35" s="505">
        <v>3.77</v>
      </c>
      <c r="E35" s="396"/>
      <c r="F35" s="395"/>
      <c r="G35" s="417"/>
      <c r="H35" s="506">
        <v>0.54</v>
      </c>
      <c r="I35" s="505">
        <v>16.718266253869963</v>
      </c>
    </row>
    <row r="36" spans="2:9" ht="13.5" thickBot="1">
      <c r="B36" s="425" t="s">
        <v>85</v>
      </c>
      <c r="C36" s="507">
        <v>7.3259999999999996</v>
      </c>
      <c r="D36" s="507">
        <v>7.7519999999999989</v>
      </c>
      <c r="E36" s="399"/>
      <c r="F36" s="398"/>
      <c r="G36" s="418"/>
      <c r="H36" s="506">
        <v>0.42599999999999927</v>
      </c>
      <c r="I36" s="507">
        <v>5.8149058149058019</v>
      </c>
    </row>
    <row r="37" spans="2:9">
      <c r="B37" s="280" t="s">
        <v>592</v>
      </c>
      <c r="D37"/>
    </row>
    <row r="38" spans="2:9">
      <c r="B38" s="280" t="s">
        <v>593</v>
      </c>
      <c r="D38"/>
    </row>
    <row r="39" spans="2:9">
      <c r="B39" s="280" t="s">
        <v>591</v>
      </c>
      <c r="D39"/>
    </row>
    <row r="48" spans="2:9">
      <c r="B48" s="1060"/>
      <c r="C48" s="1060"/>
      <c r="D48" s="1061"/>
      <c r="E48" s="1060"/>
      <c r="F48" s="1060"/>
      <c r="G48" s="1060"/>
      <c r="H48" s="1060"/>
      <c r="I48" s="1060"/>
    </row>
    <row r="49" spans="1:15" ht="15" customHeight="1">
      <c r="A49" s="263"/>
      <c r="B49" s="1062"/>
      <c r="C49" s="1063"/>
      <c r="D49" s="1063"/>
      <c r="E49" s="1064"/>
      <c r="F49" s="1065"/>
      <c r="G49" s="1066"/>
      <c r="H49" s="1067"/>
      <c r="I49" s="1065"/>
      <c r="J49" s="263"/>
      <c r="K49" s="12"/>
      <c r="L49" s="503"/>
      <c r="M49" s="12"/>
      <c r="N49" s="12"/>
      <c r="O49" s="12"/>
    </row>
    <row r="50" spans="1:15" ht="15" customHeight="1">
      <c r="A50" s="263"/>
      <c r="B50" s="1062"/>
      <c r="C50" s="1063"/>
      <c r="D50" s="1063"/>
      <c r="E50" s="1064"/>
      <c r="F50" s="1065"/>
      <c r="G50" s="1066"/>
      <c r="H50" s="1067"/>
      <c r="I50" s="1065"/>
      <c r="J50" s="263"/>
      <c r="K50" s="12"/>
      <c r="L50" s="503"/>
      <c r="M50" s="12"/>
      <c r="N50" s="12"/>
      <c r="O50" s="12"/>
    </row>
    <row r="51" spans="1:15" ht="15" customHeight="1">
      <c r="A51" s="263"/>
      <c r="B51" s="1062"/>
      <c r="C51" s="1063"/>
      <c r="D51" s="1063"/>
      <c r="E51" s="1064"/>
      <c r="F51" s="1065"/>
      <c r="G51" s="1066"/>
      <c r="H51" s="1067"/>
      <c r="I51" s="1065"/>
      <c r="J51" s="263"/>
      <c r="K51" s="12"/>
      <c r="L51" s="503"/>
      <c r="M51" s="12"/>
      <c r="N51" s="12"/>
      <c r="O51" s="12"/>
    </row>
    <row r="52" spans="1:15" ht="15" customHeight="1">
      <c r="A52" s="263"/>
      <c r="B52" s="1062"/>
      <c r="C52" s="1063"/>
      <c r="D52" s="1063"/>
      <c r="E52" s="1064"/>
      <c r="F52" s="1065"/>
      <c r="G52" s="1066"/>
      <c r="H52" s="1067"/>
      <c r="I52" s="1065"/>
      <c r="J52" s="263"/>
      <c r="K52" s="12"/>
      <c r="L52" s="503"/>
      <c r="M52" s="12"/>
      <c r="N52" s="12"/>
      <c r="O52" s="12"/>
    </row>
    <row r="53" spans="1:15" ht="14.25">
      <c r="A53" s="263"/>
      <c r="B53" s="1062"/>
      <c r="C53" s="1063"/>
      <c r="D53" s="1063"/>
      <c r="E53" s="1064"/>
      <c r="F53" s="1065"/>
      <c r="G53" s="1066"/>
      <c r="H53" s="1067"/>
      <c r="I53" s="1065"/>
      <c r="J53" s="263"/>
      <c r="K53" s="12"/>
      <c r="L53" s="503"/>
      <c r="M53" s="12"/>
      <c r="N53" s="12"/>
      <c r="O53" s="12"/>
    </row>
    <row r="54" spans="1:15" ht="15" customHeight="1">
      <c r="A54" s="263"/>
      <c r="B54" s="1062"/>
      <c r="C54" s="1063"/>
      <c r="D54" s="1063"/>
      <c r="E54" s="1064"/>
      <c r="F54" s="1065"/>
      <c r="G54" s="1066"/>
      <c r="H54" s="1067"/>
      <c r="I54" s="1065"/>
      <c r="J54" s="263"/>
      <c r="K54" s="12"/>
      <c r="L54" s="504"/>
      <c r="M54" s="12"/>
      <c r="N54" s="12"/>
      <c r="O54" s="12"/>
    </row>
    <row r="55" spans="1:15" ht="15" customHeight="1">
      <c r="A55" s="263"/>
      <c r="B55" s="1062"/>
      <c r="C55" s="1063"/>
      <c r="D55" s="1063"/>
      <c r="E55" s="1064"/>
      <c r="F55" s="1065"/>
      <c r="G55" s="1066"/>
      <c r="H55" s="1067"/>
      <c r="I55" s="1065"/>
      <c r="J55" s="263"/>
      <c r="K55" s="12"/>
      <c r="L55" s="504"/>
      <c r="M55" s="12"/>
      <c r="N55" s="12"/>
      <c r="O55" s="12"/>
    </row>
    <row r="56" spans="1:15" ht="15" customHeight="1">
      <c r="A56" s="263"/>
      <c r="B56" s="1062"/>
      <c r="C56" s="1063"/>
      <c r="D56" s="1063"/>
      <c r="E56" s="1064"/>
      <c r="F56" s="1065"/>
      <c r="G56" s="1066"/>
      <c r="H56" s="1067"/>
      <c r="I56" s="1065"/>
      <c r="J56" s="263"/>
      <c r="K56" s="12"/>
      <c r="L56" s="504"/>
      <c r="M56" s="12"/>
      <c r="N56" s="12"/>
      <c r="O56" s="12"/>
    </row>
    <row r="57" spans="1:15" ht="15" hidden="1" customHeight="1" thickBot="1">
      <c r="A57" s="263"/>
      <c r="B57" s="1062"/>
      <c r="C57" s="1063"/>
      <c r="D57" s="1063"/>
      <c r="E57" s="1064"/>
      <c r="F57" s="1065"/>
      <c r="G57" s="1066"/>
      <c r="H57" s="1067"/>
      <c r="I57" s="1065"/>
      <c r="J57" s="263"/>
      <c r="K57" s="12"/>
      <c r="L57" s="504"/>
      <c r="M57" s="12"/>
      <c r="N57" s="12"/>
      <c r="O57" s="12"/>
    </row>
    <row r="58" spans="1:15" ht="15" hidden="1" customHeight="1" thickBot="1">
      <c r="A58" s="263"/>
      <c r="B58" s="1062"/>
      <c r="C58" s="1063"/>
      <c r="D58" s="1063"/>
      <c r="E58" s="1064"/>
      <c r="F58" s="1065"/>
      <c r="G58" s="1066"/>
      <c r="H58" s="1067"/>
      <c r="I58" s="1065"/>
      <c r="J58" s="263"/>
      <c r="K58" s="12"/>
      <c r="L58" s="503"/>
      <c r="M58" s="12"/>
      <c r="N58" s="12"/>
      <c r="O58" s="12"/>
    </row>
    <row r="59" spans="1:15" ht="15" customHeight="1">
      <c r="A59" s="263"/>
      <c r="B59" s="1062"/>
      <c r="C59" s="1063"/>
      <c r="D59" s="1063"/>
      <c r="E59" s="1064"/>
      <c r="F59" s="1065"/>
      <c r="G59" s="1066"/>
      <c r="H59" s="1067"/>
      <c r="I59" s="1065"/>
      <c r="J59" s="263"/>
      <c r="K59" s="12"/>
      <c r="L59" s="503"/>
      <c r="M59" s="12"/>
      <c r="N59" s="12"/>
      <c r="O59" s="12"/>
    </row>
    <row r="60" spans="1:15" ht="15" customHeight="1">
      <c r="A60" s="263"/>
      <c r="B60" s="1062"/>
      <c r="C60" s="1063"/>
      <c r="D60" s="1063"/>
      <c r="E60" s="1064"/>
      <c r="F60" s="1065"/>
      <c r="G60" s="1066"/>
      <c r="H60" s="1067"/>
      <c r="I60" s="1065"/>
      <c r="J60" s="263"/>
      <c r="K60" s="12"/>
      <c r="L60" s="503"/>
      <c r="M60" s="12"/>
      <c r="N60" s="12"/>
      <c r="O60" s="12"/>
    </row>
    <row r="61" spans="1:15" ht="15" customHeight="1">
      <c r="A61" s="263"/>
      <c r="B61" s="1062"/>
      <c r="C61" s="1063"/>
      <c r="D61" s="1063"/>
      <c r="E61" s="1064"/>
      <c r="F61" s="1065"/>
      <c r="G61" s="1066"/>
      <c r="H61" s="1067"/>
      <c r="I61" s="1065"/>
      <c r="J61" s="263"/>
      <c r="K61" s="12"/>
      <c r="L61" s="503"/>
      <c r="M61" s="12"/>
      <c r="N61" s="12"/>
      <c r="O61" s="12"/>
    </row>
    <row r="62" spans="1:15" ht="15" customHeight="1">
      <c r="A62" s="263"/>
      <c r="B62" s="1062"/>
      <c r="C62" s="1063"/>
      <c r="D62" s="1063"/>
      <c r="E62" s="1064"/>
      <c r="F62" s="1065"/>
      <c r="G62" s="1066"/>
      <c r="H62" s="1067"/>
      <c r="I62" s="1065"/>
      <c r="J62" s="263"/>
      <c r="K62" s="12"/>
      <c r="L62" s="503"/>
      <c r="M62" s="12"/>
      <c r="N62" s="12"/>
      <c r="O62" s="12"/>
    </row>
    <row r="63" spans="1:15" ht="15" customHeight="1">
      <c r="A63" s="263"/>
      <c r="B63" s="1062"/>
      <c r="C63" s="1063"/>
      <c r="D63" s="1063"/>
      <c r="E63" s="1064"/>
      <c r="F63" s="1065"/>
      <c r="G63" s="1066"/>
      <c r="H63" s="1067"/>
      <c r="I63" s="1065"/>
      <c r="J63" s="263"/>
      <c r="K63" s="12"/>
      <c r="L63" s="503"/>
      <c r="M63" s="12"/>
      <c r="N63" s="12"/>
      <c r="O63" s="12"/>
    </row>
    <row r="64" spans="1:15" ht="15" customHeight="1">
      <c r="A64" s="263"/>
      <c r="B64" s="1062"/>
      <c r="C64" s="1063"/>
      <c r="D64" s="1063"/>
      <c r="E64" s="1064"/>
      <c r="F64" s="1065"/>
      <c r="G64" s="1066"/>
      <c r="H64" s="1067"/>
      <c r="I64" s="1065"/>
      <c r="J64" s="263"/>
      <c r="K64" s="12"/>
      <c r="L64" s="503"/>
      <c r="M64" s="12"/>
      <c r="N64" s="12"/>
      <c r="O64" s="12"/>
    </row>
    <row r="65" spans="1:15" ht="15" hidden="1" customHeight="1" thickBot="1">
      <c r="A65" s="263"/>
      <c r="B65" s="1062"/>
      <c r="C65" s="1063"/>
      <c r="D65" s="1063"/>
      <c r="E65" s="1064"/>
      <c r="F65" s="1065"/>
      <c r="G65" s="1066"/>
      <c r="H65" s="1067"/>
      <c r="I65" s="1065"/>
      <c r="J65" s="263"/>
      <c r="K65" s="12"/>
      <c r="L65" s="503"/>
      <c r="M65" s="12"/>
      <c r="N65" s="12"/>
      <c r="O65" s="12"/>
    </row>
    <row r="66" spans="1:15" ht="15" customHeight="1">
      <c r="A66" s="263"/>
      <c r="B66" s="1062"/>
      <c r="C66" s="1063"/>
      <c r="D66" s="1063"/>
      <c r="E66" s="1064"/>
      <c r="F66" s="1065"/>
      <c r="G66" s="1066"/>
      <c r="H66" s="1067"/>
      <c r="I66" s="1065"/>
      <c r="J66" s="263"/>
      <c r="K66" s="12"/>
      <c r="L66" s="503"/>
      <c r="M66" s="12"/>
      <c r="N66" s="12"/>
      <c r="O66" s="12"/>
    </row>
    <row r="67" spans="1:15" ht="15" customHeight="1">
      <c r="A67" s="263"/>
      <c r="B67" s="1062"/>
      <c r="C67" s="1063"/>
      <c r="D67" s="1063"/>
      <c r="E67" s="1064"/>
      <c r="F67" s="1065"/>
      <c r="G67" s="1066"/>
      <c r="H67" s="1067"/>
      <c r="I67" s="1065"/>
      <c r="J67" s="263"/>
      <c r="K67" s="12"/>
      <c r="L67" s="503"/>
      <c r="M67" s="12"/>
      <c r="N67" s="12"/>
      <c r="O67" s="12"/>
    </row>
    <row r="68" spans="1:15" ht="15" customHeight="1">
      <c r="A68" s="263"/>
      <c r="B68" s="1062"/>
      <c r="C68" s="1063"/>
      <c r="D68" s="1063"/>
      <c r="E68" s="1064"/>
      <c r="F68" s="1065"/>
      <c r="G68" s="1066"/>
      <c r="H68" s="1067"/>
      <c r="I68" s="1065"/>
      <c r="J68" s="263"/>
      <c r="K68" s="12"/>
      <c r="L68" s="503"/>
      <c r="M68" s="12"/>
      <c r="N68" s="12"/>
      <c r="O68" s="12"/>
    </row>
    <row r="69" spans="1:15" ht="15" customHeight="1">
      <c r="A69" s="263"/>
      <c r="B69" s="1062"/>
      <c r="C69" s="1063"/>
      <c r="D69" s="1063"/>
      <c r="E69" s="1064"/>
      <c r="F69" s="1065"/>
      <c r="G69" s="1066"/>
      <c r="H69" s="1067"/>
      <c r="I69" s="1065"/>
      <c r="J69" s="263"/>
      <c r="K69" s="12"/>
      <c r="L69" s="503"/>
      <c r="M69" s="12"/>
      <c r="N69" s="12"/>
      <c r="O69" s="12"/>
    </row>
    <row r="70" spans="1:15" ht="15" customHeight="1">
      <c r="A70" s="263"/>
      <c r="B70" s="1062"/>
      <c r="C70" s="1063"/>
      <c r="D70" s="1063"/>
      <c r="E70" s="1064"/>
      <c r="F70" s="1065"/>
      <c r="G70" s="1066"/>
      <c r="H70" s="1067"/>
      <c r="I70" s="1065"/>
      <c r="J70" s="263"/>
      <c r="K70" s="12"/>
      <c r="L70" s="503"/>
      <c r="M70" s="12"/>
      <c r="N70" s="12"/>
      <c r="O70" s="12"/>
    </row>
    <row r="71" spans="1:15" ht="15" customHeight="1">
      <c r="A71" s="263"/>
      <c r="B71" s="1062"/>
      <c r="C71" s="1063"/>
      <c r="D71" s="1063"/>
      <c r="E71" s="1064"/>
      <c r="F71" s="1065"/>
      <c r="G71" s="1066"/>
      <c r="H71" s="1067"/>
      <c r="I71" s="1065"/>
      <c r="J71" s="263"/>
      <c r="K71" s="12"/>
      <c r="L71" s="503"/>
      <c r="M71" s="12"/>
      <c r="N71" s="12"/>
      <c r="O71" s="12"/>
    </row>
    <row r="72" spans="1:15" ht="17.25" hidden="1" customHeight="1" thickBot="1">
      <c r="A72" s="263"/>
      <c r="B72" s="1062"/>
      <c r="C72" s="1063"/>
      <c r="D72" s="1063"/>
      <c r="E72" s="1064"/>
      <c r="F72" s="1065"/>
      <c r="G72" s="1066"/>
      <c r="H72" s="1067"/>
      <c r="I72" s="1065"/>
      <c r="J72" s="263"/>
      <c r="K72" s="12"/>
      <c r="L72" s="503"/>
      <c r="M72" s="12"/>
      <c r="N72" s="12"/>
      <c r="O72" s="12"/>
    </row>
    <row r="73" spans="1:15" ht="17.25" hidden="1" customHeight="1" thickBot="1">
      <c r="A73" s="263"/>
      <c r="B73" s="1062"/>
      <c r="C73" s="1063"/>
      <c r="D73" s="1063"/>
      <c r="E73" s="1064"/>
      <c r="F73" s="1065"/>
      <c r="G73" s="1066"/>
      <c r="H73" s="1067"/>
      <c r="I73" s="1065"/>
      <c r="J73" s="263"/>
      <c r="K73" s="12"/>
      <c r="L73" s="503"/>
      <c r="M73" s="12"/>
      <c r="N73" s="12"/>
      <c r="O73" s="12"/>
    </row>
    <row r="74" spans="1:15" ht="15" customHeight="1">
      <c r="A74" s="263"/>
      <c r="B74" s="1062"/>
      <c r="C74" s="1063"/>
      <c r="D74" s="1063"/>
      <c r="E74" s="1064"/>
      <c r="F74" s="1065"/>
      <c r="G74" s="1066"/>
      <c r="H74" s="1067"/>
      <c r="I74" s="1065"/>
      <c r="J74" s="263"/>
      <c r="K74" s="12"/>
      <c r="L74" s="504"/>
      <c r="M74" s="12"/>
      <c r="N74" s="12"/>
      <c r="O74" s="12"/>
    </row>
    <row r="75" spans="1:15" ht="15" customHeight="1">
      <c r="A75" s="263"/>
      <c r="B75" s="1062"/>
      <c r="C75" s="1063"/>
      <c r="D75" s="1063"/>
      <c r="E75" s="1064"/>
      <c r="F75" s="1065"/>
      <c r="G75" s="1066"/>
      <c r="H75" s="1067"/>
      <c r="I75" s="1065"/>
      <c r="J75" s="263"/>
      <c r="K75" s="12"/>
      <c r="L75" s="504"/>
      <c r="M75" s="12"/>
      <c r="N75" s="12"/>
      <c r="O75" s="12"/>
    </row>
    <row r="76" spans="1:15" ht="14.25" customHeight="1">
      <c r="A76" s="263"/>
      <c r="B76" s="1062"/>
      <c r="C76" s="1063"/>
      <c r="D76" s="1063"/>
      <c r="E76" s="1064"/>
      <c r="F76" s="1065"/>
      <c r="G76" s="1066"/>
      <c r="H76" s="1067"/>
      <c r="I76" s="1065"/>
      <c r="J76" s="273"/>
      <c r="K76" s="12"/>
      <c r="L76" s="12"/>
      <c r="M76" s="12"/>
      <c r="N76" s="12"/>
      <c r="O76" s="12"/>
    </row>
    <row r="77" spans="1:15" hidden="1">
      <c r="A77" s="263"/>
      <c r="B77" s="1062"/>
      <c r="C77" s="1063"/>
      <c r="D77" s="1063"/>
      <c r="E77" s="1064"/>
      <c r="F77" s="1065"/>
      <c r="G77" s="1066"/>
      <c r="H77" s="1067"/>
      <c r="I77" s="1065"/>
      <c r="J77" s="273"/>
    </row>
    <row r="78" spans="1:15" ht="15" customHeight="1">
      <c r="A78" s="263"/>
      <c r="B78" s="1062"/>
      <c r="C78" s="1063"/>
      <c r="D78" s="1063"/>
      <c r="E78" s="1064"/>
      <c r="F78" s="1065"/>
      <c r="G78" s="1066"/>
      <c r="H78" s="1067"/>
      <c r="I78" s="1065"/>
      <c r="J78" s="273"/>
    </row>
    <row r="79" spans="1:15" s="24" customFormat="1" ht="15" customHeight="1">
      <c r="A79" s="263"/>
      <c r="B79" s="1062"/>
      <c r="C79" s="1063"/>
      <c r="D79" s="1063"/>
      <c r="E79" s="1064"/>
      <c r="F79" s="1065"/>
      <c r="G79" s="1066"/>
      <c r="H79" s="1067"/>
      <c r="I79" s="1065"/>
      <c r="J79" s="273"/>
    </row>
    <row r="80" spans="1:15" ht="15" customHeight="1">
      <c r="A80" s="263"/>
      <c r="B80" s="1062"/>
      <c r="C80" s="1063"/>
      <c r="D80" s="1063"/>
      <c r="E80" s="1064"/>
      <c r="F80" s="1065"/>
      <c r="G80" s="1066"/>
      <c r="H80" s="1067"/>
      <c r="I80" s="1065"/>
      <c r="J80" s="273"/>
    </row>
    <row r="81" spans="1:10" ht="15" customHeight="1">
      <c r="A81" s="263"/>
      <c r="B81" s="1062"/>
      <c r="C81" s="1063"/>
      <c r="D81" s="1063"/>
      <c r="E81" s="1064"/>
      <c r="F81" s="1065"/>
      <c r="G81" s="1066"/>
      <c r="H81" s="1067"/>
      <c r="I81" s="1065"/>
      <c r="J81" s="273"/>
    </row>
    <row r="82" spans="1:10" ht="13.5" customHeight="1">
      <c r="A82" s="263"/>
      <c r="B82" s="1062"/>
      <c r="C82" s="1063"/>
      <c r="D82" s="1063"/>
      <c r="E82" s="1064"/>
      <c r="F82" s="1065"/>
      <c r="G82" s="1066"/>
      <c r="H82" s="1067"/>
      <c r="I82" s="1065"/>
      <c r="J82" s="273"/>
    </row>
    <row r="83" spans="1:10" ht="15" hidden="1" customHeight="1" thickBot="1">
      <c r="A83" s="263"/>
      <c r="B83" s="1062"/>
      <c r="C83" s="1063"/>
      <c r="D83" s="1063"/>
      <c r="E83" s="1064"/>
      <c r="F83" s="1065"/>
      <c r="G83" s="1066"/>
      <c r="H83" s="1067"/>
      <c r="I83" s="1065"/>
      <c r="J83" s="263"/>
    </row>
    <row r="84" spans="1:10" ht="15" customHeight="1">
      <c r="A84" s="263"/>
      <c r="B84" s="1062"/>
      <c r="C84" s="1063"/>
      <c r="D84" s="1063"/>
      <c r="E84" s="1064"/>
      <c r="F84" s="1065"/>
      <c r="G84" s="1066"/>
      <c r="H84" s="1067"/>
      <c r="I84" s="1065"/>
      <c r="J84" s="263"/>
    </row>
    <row r="85" spans="1:10" ht="30.75" hidden="1" customHeight="1" thickBot="1">
      <c r="A85" s="263"/>
      <c r="B85" s="1062"/>
      <c r="C85" s="1063"/>
      <c r="D85" s="1063"/>
      <c r="E85" s="1064"/>
      <c r="F85" s="1065"/>
      <c r="G85" s="1066"/>
      <c r="H85" s="1067"/>
      <c r="I85" s="1065"/>
      <c r="J85" s="263"/>
    </row>
    <row r="86" spans="1:10" ht="30.75" hidden="1" customHeight="1" thickBot="1">
      <c r="A86" s="263"/>
      <c r="B86" s="1062"/>
      <c r="C86" s="1063"/>
      <c r="D86" s="1063"/>
      <c r="E86" s="1064"/>
      <c r="F86" s="1065"/>
      <c r="G86" s="1066"/>
      <c r="H86" s="1067"/>
      <c r="I86" s="1065"/>
      <c r="J86" s="263"/>
    </row>
    <row r="87" spans="1:10" ht="30.75" hidden="1" customHeight="1" thickBot="1">
      <c r="A87" s="263"/>
      <c r="B87" s="1062"/>
      <c r="C87" s="1063"/>
      <c r="D87" s="1063"/>
      <c r="E87" s="1064"/>
      <c r="F87" s="1065"/>
      <c r="G87" s="1066"/>
      <c r="H87" s="1067"/>
      <c r="I87" s="1065"/>
      <c r="J87" s="263"/>
    </row>
    <row r="88" spans="1:10" ht="30.75" hidden="1" customHeight="1" thickBot="1">
      <c r="A88" s="263"/>
      <c r="B88" s="1062"/>
      <c r="C88" s="1063"/>
      <c r="D88" s="1063"/>
      <c r="E88" s="1064"/>
      <c r="F88" s="1065"/>
      <c r="G88" s="1066"/>
      <c r="H88" s="1067"/>
      <c r="I88" s="1065"/>
      <c r="J88" s="263"/>
    </row>
    <row r="89" spans="1:10" ht="15" customHeight="1">
      <c r="A89" s="263"/>
      <c r="B89" s="1062"/>
      <c r="C89" s="1063"/>
      <c r="D89" s="1063"/>
      <c r="E89" s="1064"/>
      <c r="F89" s="1065"/>
      <c r="G89" s="1066"/>
      <c r="H89" s="1067"/>
      <c r="I89" s="1065"/>
      <c r="J89" s="263"/>
    </row>
    <row r="90" spans="1:10" ht="15" customHeight="1">
      <c r="A90" s="263"/>
      <c r="B90" s="1062"/>
      <c r="C90" s="1063"/>
      <c r="D90" s="1063"/>
      <c r="E90" s="1064"/>
      <c r="F90" s="1065"/>
      <c r="G90" s="1066"/>
      <c r="H90" s="1067"/>
      <c r="I90" s="1065"/>
      <c r="J90" s="263"/>
    </row>
    <row r="91" spans="1:10" ht="14.25" customHeight="1">
      <c r="A91" s="263"/>
      <c r="B91" s="1062"/>
      <c r="C91" s="1063"/>
      <c r="D91" s="1063"/>
      <c r="E91" s="1064"/>
      <c r="F91" s="1065"/>
      <c r="G91" s="1066"/>
      <c r="H91" s="1067"/>
      <c r="I91" s="1065"/>
      <c r="J91" s="263"/>
    </row>
    <row r="92" spans="1:10" ht="15" hidden="1" customHeight="1" thickBot="1">
      <c r="A92" s="263"/>
      <c r="B92" s="1068"/>
      <c r="C92" s="1069"/>
      <c r="D92" s="1070"/>
      <c r="E92" s="1071"/>
      <c r="F92" s="1071"/>
      <c r="G92" s="1071"/>
      <c r="H92" s="1072"/>
      <c r="I92" s="1072"/>
      <c r="J92" s="263"/>
    </row>
    <row r="93" spans="1:10">
      <c r="A93" s="263"/>
      <c r="B93" s="1073"/>
      <c r="C93" s="1074"/>
      <c r="D93" s="1075"/>
      <c r="E93" s="1075"/>
      <c r="F93" s="1076"/>
      <c r="G93" s="1075"/>
      <c r="H93" s="1075"/>
      <c r="I93" s="1075"/>
      <c r="J93" s="263"/>
    </row>
    <row r="94" spans="1:10">
      <c r="A94" s="263"/>
      <c r="B94" s="1073"/>
      <c r="C94" s="1075"/>
      <c r="D94" s="1075"/>
      <c r="E94" s="1075"/>
      <c r="F94" s="1074"/>
      <c r="G94" s="1075"/>
      <c r="H94" s="1075"/>
      <c r="I94" s="1075"/>
      <c r="J94" s="263"/>
    </row>
    <row r="95" spans="1:10">
      <c r="A95" s="263"/>
      <c r="B95" s="1077"/>
      <c r="C95" s="1078"/>
      <c r="D95" s="1078"/>
      <c r="E95" s="1078"/>
      <c r="F95" s="1078"/>
      <c r="G95" s="1078"/>
      <c r="H95" s="1076"/>
      <c r="I95" s="1076"/>
      <c r="J95" s="263"/>
    </row>
    <row r="96" spans="1:10">
      <c r="A96" s="263"/>
      <c r="B96" s="263"/>
      <c r="C96" s="263"/>
      <c r="D96" s="301"/>
      <c r="E96" s="273"/>
      <c r="F96" s="273"/>
      <c r="G96" s="273"/>
      <c r="H96" s="273"/>
      <c r="I96" s="273"/>
      <c r="J96" s="263"/>
    </row>
  </sheetData>
  <sheetProtection password="CF4C" sheet="1" objects="1" scenarios="1"/>
  <mergeCells count="5">
    <mergeCell ref="B3:B4"/>
    <mergeCell ref="C3:D3"/>
    <mergeCell ref="H3:H4"/>
    <mergeCell ref="I3:I4"/>
    <mergeCell ref="B2:I2"/>
  </mergeCells>
  <phoneticPr fontId="0" type="noConversion"/>
  <conditionalFormatting sqref="N76">
    <cfRule type="cellIs" dxfId="17" priority="6" stopIfTrue="1" operator="greaterThan">
      <formula>5.2</formula>
    </cfRule>
  </conditionalFormatting>
  <conditionalFormatting sqref="N49:N75">
    <cfRule type="cellIs" dxfId="16" priority="3" stopIfTrue="1" operator="greaterThan">
      <formula>5.2</formula>
    </cfRule>
    <cfRule type="cellIs" dxfId="15" priority="4" stopIfTrue="1" operator="equal">
      <formula>"s.v."</formula>
    </cfRule>
    <cfRule type="cellIs" priority="5" stopIfTrue="1" operator="equal">
      <formula>"c.f."</formula>
    </cfRule>
  </conditionalFormatting>
  <conditionalFormatting sqref="I53:I92 H49:H92 H5:H36">
    <cfRule type="cellIs" dxfId="14" priority="2" stopIfTrue="1" operator="lessThan">
      <formula>0</formula>
    </cfRule>
  </conditionalFormatting>
  <printOptions horizontalCentered="1" verticalCentered="1"/>
  <pageMargins left="0.19685039370078741" right="0.19685039370078741" top="0.59055118110236227" bottom="0.59055118110236227" header="0.39370078740157483" footer="0.39370078740157483"/>
  <pageSetup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38" enableFormatConditionsCalculation="0">
    <tabColor indexed="50"/>
  </sheetPr>
  <dimension ref="A1:H49"/>
  <sheetViews>
    <sheetView showGridLines="0" workbookViewId="0">
      <selection activeCell="I22" sqref="I22"/>
    </sheetView>
  </sheetViews>
  <sheetFormatPr baseColWidth="10" defaultRowHeight="12.75"/>
  <cols>
    <col min="1" max="1" width="2.85546875" customWidth="1"/>
    <col min="2" max="2" width="20.7109375" customWidth="1"/>
    <col min="3" max="6" width="16.7109375" customWidth="1"/>
    <col min="8" max="8" width="1.7109375" customWidth="1"/>
  </cols>
  <sheetData>
    <row r="1" spans="1:8" s="46" customFormat="1" ht="12" customHeight="1">
      <c r="A1" s="261"/>
      <c r="B1" s="259"/>
      <c r="C1" s="260"/>
      <c r="D1" s="260"/>
      <c r="E1" s="260"/>
      <c r="F1" s="260"/>
      <c r="G1" s="260"/>
      <c r="H1" s="261"/>
    </row>
    <row r="2" spans="1:8" ht="15" customHeight="1">
      <c r="A2" s="263"/>
      <c r="B2" s="342" t="s">
        <v>270</v>
      </c>
      <c r="C2" s="328"/>
      <c r="D2" s="296"/>
      <c r="E2" s="296"/>
      <c r="F2" s="296"/>
      <c r="G2" s="296"/>
      <c r="H2" s="263"/>
    </row>
    <row r="3" spans="1:8" ht="15" customHeight="1">
      <c r="A3" s="263"/>
      <c r="B3" s="342"/>
      <c r="C3" s="328"/>
      <c r="D3" s="296"/>
      <c r="E3" s="296"/>
      <c r="F3" s="296"/>
      <c r="G3" s="296"/>
      <c r="H3" s="263"/>
    </row>
    <row r="4" spans="1:8" ht="9" customHeight="1" thickBot="1">
      <c r="A4" s="263"/>
      <c r="B4" s="268"/>
      <c r="C4" s="268"/>
      <c r="D4" s="268"/>
      <c r="E4" s="268"/>
      <c r="F4" s="268"/>
      <c r="G4" s="268"/>
      <c r="H4" s="263"/>
    </row>
    <row r="5" spans="1:8" ht="15" customHeight="1" thickBot="1">
      <c r="A5" s="263"/>
      <c r="B5" s="1410" t="s">
        <v>92</v>
      </c>
      <c r="C5" s="1410" t="s">
        <v>43</v>
      </c>
      <c r="D5" s="1410"/>
      <c r="E5" s="1410"/>
      <c r="F5" s="1410"/>
      <c r="G5" s="1410"/>
      <c r="H5" s="263"/>
    </row>
    <row r="6" spans="1:8" ht="15" customHeight="1" thickBot="1">
      <c r="A6" s="263"/>
      <c r="B6" s="1410"/>
      <c r="C6" s="1410" t="s">
        <v>44</v>
      </c>
      <c r="D6" s="1410"/>
      <c r="E6" s="1410" t="s">
        <v>89</v>
      </c>
      <c r="F6" s="1410"/>
      <c r="G6" s="1410" t="s">
        <v>45</v>
      </c>
      <c r="H6" s="263"/>
    </row>
    <row r="7" spans="1:8" ht="30" customHeight="1" thickBot="1">
      <c r="A7" s="263"/>
      <c r="B7" s="1410"/>
      <c r="C7" s="325" t="s">
        <v>46</v>
      </c>
      <c r="D7" s="325" t="s">
        <v>47</v>
      </c>
      <c r="E7" s="325" t="s">
        <v>46</v>
      </c>
      <c r="F7" s="325" t="s">
        <v>47</v>
      </c>
      <c r="G7" s="1410"/>
      <c r="H7" s="263"/>
    </row>
    <row r="8" spans="1:8" ht="6" customHeight="1" thickBot="1">
      <c r="A8" s="263"/>
      <c r="B8" s="297"/>
      <c r="C8" s="297"/>
      <c r="D8" s="297"/>
      <c r="E8" s="297"/>
      <c r="F8" s="297"/>
      <c r="G8" s="297"/>
      <c r="H8" s="263"/>
    </row>
    <row r="9" spans="1:8" ht="13.5" customHeight="1" thickBot="1">
      <c r="A9" s="263"/>
      <c r="B9" s="327" t="s">
        <v>6</v>
      </c>
      <c r="C9" s="329" t="s">
        <v>131</v>
      </c>
      <c r="D9" s="330">
        <v>9.58</v>
      </c>
      <c r="E9" s="329" t="s">
        <v>90</v>
      </c>
      <c r="F9" s="330">
        <v>48.37</v>
      </c>
      <c r="G9" s="329">
        <v>7</v>
      </c>
      <c r="H9" s="263"/>
    </row>
    <row r="10" spans="1:8" ht="13.5" customHeight="1" thickBot="1">
      <c r="A10" s="263"/>
      <c r="B10" s="327" t="s">
        <v>81</v>
      </c>
      <c r="C10" s="329" t="s">
        <v>132</v>
      </c>
      <c r="D10" s="330">
        <v>5.77</v>
      </c>
      <c r="E10" s="329" t="s">
        <v>150</v>
      </c>
      <c r="F10" s="330">
        <v>11.02</v>
      </c>
      <c r="G10" s="329">
        <v>9</v>
      </c>
      <c r="H10" s="263"/>
    </row>
    <row r="11" spans="1:8" ht="13.5" customHeight="1" thickBot="1">
      <c r="A11" s="263"/>
      <c r="B11" s="327" t="s">
        <v>87</v>
      </c>
      <c r="C11" s="329" t="s">
        <v>132</v>
      </c>
      <c r="D11" s="330">
        <v>8.73</v>
      </c>
      <c r="E11" s="329" t="s">
        <v>150</v>
      </c>
      <c r="F11" s="330">
        <v>30.28</v>
      </c>
      <c r="G11" s="329">
        <v>12</v>
      </c>
      <c r="H11" s="263"/>
    </row>
    <row r="12" spans="1:8" ht="13.5" customHeight="1" thickBot="1">
      <c r="A12" s="263"/>
      <c r="B12" s="327" t="s">
        <v>127</v>
      </c>
      <c r="C12" s="329" t="s">
        <v>151</v>
      </c>
      <c r="D12" s="330">
        <v>2.86</v>
      </c>
      <c r="E12" s="329" t="s">
        <v>152</v>
      </c>
      <c r="F12" s="330">
        <v>24.33</v>
      </c>
      <c r="G12" s="329">
        <v>11</v>
      </c>
      <c r="H12" s="263"/>
    </row>
    <row r="13" spans="1:8" ht="13.5" customHeight="1" thickBot="1">
      <c r="A13" s="263"/>
      <c r="B13" s="327" t="s">
        <v>9</v>
      </c>
      <c r="C13" s="329" t="s">
        <v>128</v>
      </c>
      <c r="D13" s="330">
        <v>1</v>
      </c>
      <c r="E13" s="329" t="s">
        <v>153</v>
      </c>
      <c r="F13" s="330">
        <v>1.35</v>
      </c>
      <c r="G13" s="329">
        <v>2</v>
      </c>
      <c r="H13" s="263"/>
    </row>
    <row r="14" spans="1:8" ht="13.5" customHeight="1" thickBot="1">
      <c r="A14" s="263"/>
      <c r="B14" s="327" t="s">
        <v>135</v>
      </c>
      <c r="C14" s="329" t="s">
        <v>130</v>
      </c>
      <c r="D14" s="330">
        <v>4.4000000000000004</v>
      </c>
      <c r="E14" s="329" t="s">
        <v>154</v>
      </c>
      <c r="F14" s="330">
        <v>9.14</v>
      </c>
      <c r="G14" s="329">
        <v>7</v>
      </c>
      <c r="H14" s="263"/>
    </row>
    <row r="15" spans="1:8" ht="13.5" customHeight="1" thickBot="1">
      <c r="A15" s="263"/>
      <c r="B15" s="327" t="s">
        <v>11</v>
      </c>
      <c r="C15" s="329" t="s">
        <v>131</v>
      </c>
      <c r="D15" s="330">
        <v>2.1</v>
      </c>
      <c r="E15" s="329" t="s">
        <v>155</v>
      </c>
      <c r="F15" s="330">
        <v>15.94</v>
      </c>
      <c r="G15" s="329">
        <v>17</v>
      </c>
      <c r="H15" s="263"/>
    </row>
    <row r="16" spans="1:8" ht="13.5" customHeight="1" thickBot="1">
      <c r="A16" s="263"/>
      <c r="B16" s="327" t="s">
        <v>182</v>
      </c>
      <c r="C16" s="329" t="s">
        <v>131</v>
      </c>
      <c r="D16" s="330">
        <v>6.84</v>
      </c>
      <c r="E16" s="329" t="s">
        <v>156</v>
      </c>
      <c r="F16" s="330">
        <v>20.52</v>
      </c>
      <c r="G16" s="329">
        <v>5</v>
      </c>
      <c r="H16" s="263"/>
    </row>
    <row r="17" spans="1:8" ht="13.5" customHeight="1" thickBot="1">
      <c r="A17" s="263"/>
      <c r="B17" s="327" t="s">
        <v>136</v>
      </c>
      <c r="C17" s="329" t="s">
        <v>131</v>
      </c>
      <c r="D17" s="330">
        <v>4.21</v>
      </c>
      <c r="E17" s="329" t="s">
        <v>91</v>
      </c>
      <c r="F17" s="330">
        <v>8.49</v>
      </c>
      <c r="G17" s="329">
        <v>6</v>
      </c>
      <c r="H17" s="263"/>
    </row>
    <row r="18" spans="1:8" ht="13.5" customHeight="1" thickBot="1">
      <c r="A18" s="263"/>
      <c r="B18" s="327" t="s">
        <v>137</v>
      </c>
      <c r="C18" s="329" t="s">
        <v>196</v>
      </c>
      <c r="D18" s="330">
        <v>3.2</v>
      </c>
      <c r="E18" s="329" t="s">
        <v>157</v>
      </c>
      <c r="F18" s="330">
        <v>16.95</v>
      </c>
      <c r="G18" s="329">
        <v>9</v>
      </c>
      <c r="H18" s="263"/>
    </row>
    <row r="19" spans="1:8" ht="13.5" customHeight="1" thickBot="1">
      <c r="A19" s="263"/>
      <c r="B19" s="327" t="s">
        <v>14</v>
      </c>
      <c r="C19" s="329" t="s">
        <v>130</v>
      </c>
      <c r="D19" s="330">
        <v>1.45</v>
      </c>
      <c r="E19" s="329" t="s">
        <v>158</v>
      </c>
      <c r="F19" s="330">
        <v>43.05</v>
      </c>
      <c r="G19" s="329">
        <v>14</v>
      </c>
      <c r="H19" s="263"/>
    </row>
    <row r="20" spans="1:8" ht="13.5" customHeight="1" thickBot="1">
      <c r="A20" s="263"/>
      <c r="B20" s="327" t="s">
        <v>138</v>
      </c>
      <c r="C20" s="329" t="s">
        <v>130</v>
      </c>
      <c r="D20" s="330">
        <v>5.21</v>
      </c>
      <c r="E20" s="329" t="s">
        <v>90</v>
      </c>
      <c r="F20" s="330">
        <v>9.33</v>
      </c>
      <c r="G20" s="329">
        <v>11</v>
      </c>
      <c r="H20" s="263"/>
    </row>
    <row r="21" spans="1:8" ht="13.5" customHeight="1" thickBot="1">
      <c r="A21" s="263"/>
      <c r="B21" s="327" t="s">
        <v>139</v>
      </c>
      <c r="C21" s="329" t="s">
        <v>132</v>
      </c>
      <c r="D21" s="330">
        <v>5.54</v>
      </c>
      <c r="E21" s="329" t="s">
        <v>159</v>
      </c>
      <c r="F21" s="330">
        <v>23.47</v>
      </c>
      <c r="G21" s="329">
        <v>270</v>
      </c>
      <c r="H21" s="263"/>
    </row>
    <row r="22" spans="1:8" ht="13.5" customHeight="1" thickBot="1">
      <c r="A22" s="263"/>
      <c r="B22" s="327" t="s">
        <v>140</v>
      </c>
      <c r="C22" s="329" t="s">
        <v>130</v>
      </c>
      <c r="D22" s="330">
        <v>3.56</v>
      </c>
      <c r="E22" s="329" t="s">
        <v>160</v>
      </c>
      <c r="F22" s="330">
        <v>27.88</v>
      </c>
      <c r="G22" s="329">
        <v>7</v>
      </c>
      <c r="H22" s="263"/>
    </row>
    <row r="23" spans="1:8" ht="13.5" customHeight="1" thickBot="1">
      <c r="A23" s="263"/>
      <c r="B23" s="327" t="s">
        <v>141</v>
      </c>
      <c r="C23" s="329" t="s">
        <v>161</v>
      </c>
      <c r="D23" s="330">
        <v>6.25</v>
      </c>
      <c r="E23" s="329" t="s">
        <v>91</v>
      </c>
      <c r="F23" s="330">
        <v>25.35</v>
      </c>
      <c r="G23" s="329">
        <v>6</v>
      </c>
      <c r="H23" s="263"/>
    </row>
    <row r="24" spans="1:8" ht="13.5" customHeight="1" thickBot="1">
      <c r="A24" s="263"/>
      <c r="B24" s="327" t="s">
        <v>126</v>
      </c>
      <c r="C24" s="329" t="s">
        <v>197</v>
      </c>
      <c r="D24" s="330">
        <v>2.71</v>
      </c>
      <c r="E24" s="329" t="s">
        <v>162</v>
      </c>
      <c r="F24" s="330">
        <v>15.38</v>
      </c>
      <c r="G24" s="329">
        <v>250</v>
      </c>
      <c r="H24" s="263"/>
    </row>
    <row r="25" spans="1:8" ht="13.5" customHeight="1" thickBot="1">
      <c r="A25" s="263"/>
      <c r="B25" s="327" t="s">
        <v>142</v>
      </c>
      <c r="C25" s="329" t="s">
        <v>131</v>
      </c>
      <c r="D25" s="330">
        <v>7.12</v>
      </c>
      <c r="E25" s="329" t="s">
        <v>163</v>
      </c>
      <c r="F25" s="330">
        <v>17.53</v>
      </c>
      <c r="G25" s="329">
        <v>13</v>
      </c>
      <c r="H25" s="263"/>
    </row>
    <row r="26" spans="1:8" ht="13.5" customHeight="1" thickBot="1">
      <c r="A26" s="263"/>
      <c r="B26" s="327" t="s">
        <v>110</v>
      </c>
      <c r="C26" s="329" t="s">
        <v>164</v>
      </c>
      <c r="D26" s="330">
        <v>2.0699999999999998</v>
      </c>
      <c r="E26" s="329" t="s">
        <v>165</v>
      </c>
      <c r="F26" s="330">
        <v>11.17</v>
      </c>
      <c r="G26" s="329">
        <v>7</v>
      </c>
      <c r="H26" s="263"/>
    </row>
    <row r="27" spans="1:8" ht="13.5" customHeight="1" thickBot="1">
      <c r="A27" s="263"/>
      <c r="B27" s="327" t="s">
        <v>143</v>
      </c>
      <c r="C27" s="329" t="s">
        <v>166</v>
      </c>
      <c r="D27" s="330">
        <v>1.6</v>
      </c>
      <c r="E27" s="329" t="s">
        <v>167</v>
      </c>
      <c r="F27" s="330">
        <v>2.61</v>
      </c>
      <c r="G27" s="329">
        <v>8</v>
      </c>
      <c r="H27" s="263"/>
    </row>
    <row r="28" spans="1:8" ht="13.5" customHeight="1" thickBot="1">
      <c r="A28" s="263"/>
      <c r="B28" s="327" t="s">
        <v>82</v>
      </c>
      <c r="C28" s="329" t="s">
        <v>129</v>
      </c>
      <c r="D28" s="330">
        <v>3.68</v>
      </c>
      <c r="E28" s="329" t="s">
        <v>168</v>
      </c>
      <c r="F28" s="330">
        <v>8</v>
      </c>
      <c r="G28" s="329">
        <v>5</v>
      </c>
      <c r="H28" s="263"/>
    </row>
    <row r="29" spans="1:8" ht="13.5" customHeight="1" thickBot="1">
      <c r="A29" s="263"/>
      <c r="B29" s="327" t="s">
        <v>169</v>
      </c>
      <c r="C29" s="329" t="s">
        <v>170</v>
      </c>
      <c r="D29" s="330">
        <v>0.83</v>
      </c>
      <c r="E29" s="329" t="s">
        <v>155</v>
      </c>
      <c r="F29" s="330">
        <v>22.96</v>
      </c>
      <c r="G29" s="329">
        <v>200</v>
      </c>
      <c r="H29" s="263"/>
    </row>
    <row r="30" spans="1:8" ht="13.5" customHeight="1" thickBot="1">
      <c r="A30" s="263"/>
      <c r="B30" s="327" t="s">
        <v>25</v>
      </c>
      <c r="C30" s="329" t="s">
        <v>129</v>
      </c>
      <c r="D30" s="330">
        <v>0.63</v>
      </c>
      <c r="E30" s="329" t="s">
        <v>171</v>
      </c>
      <c r="F30" s="330">
        <v>1.9</v>
      </c>
      <c r="G30" s="329">
        <v>5</v>
      </c>
      <c r="H30" s="263"/>
    </row>
    <row r="31" spans="1:8" ht="13.5" customHeight="1" thickBot="1">
      <c r="A31" s="263"/>
      <c r="B31" s="327" t="s">
        <v>36</v>
      </c>
      <c r="C31" s="329" t="s">
        <v>172</v>
      </c>
      <c r="D31" s="330">
        <v>5.62</v>
      </c>
      <c r="E31" s="329" t="s">
        <v>173</v>
      </c>
      <c r="F31" s="330">
        <v>6.34</v>
      </c>
      <c r="G31" s="329">
        <v>2</v>
      </c>
      <c r="H31" s="263"/>
    </row>
    <row r="32" spans="1:8" ht="13.5" customHeight="1" thickBot="1">
      <c r="A32" s="263"/>
      <c r="B32" s="327" t="s">
        <v>144</v>
      </c>
      <c r="C32" s="329" t="s">
        <v>129</v>
      </c>
      <c r="D32" s="330">
        <v>6.81</v>
      </c>
      <c r="E32" s="329" t="s">
        <v>174</v>
      </c>
      <c r="F32" s="330">
        <v>19.27</v>
      </c>
      <c r="G32" s="329">
        <v>300</v>
      </c>
      <c r="H32" s="263"/>
    </row>
    <row r="33" spans="1:8" ht="13.5" customHeight="1" thickBot="1">
      <c r="A33" s="263"/>
      <c r="B33" s="327" t="s">
        <v>125</v>
      </c>
      <c r="C33" s="329" t="s">
        <v>130</v>
      </c>
      <c r="D33" s="330">
        <v>4.0199999999999996</v>
      </c>
      <c r="E33" s="329" t="s">
        <v>106</v>
      </c>
      <c r="F33" s="330">
        <v>30.04</v>
      </c>
      <c r="G33" s="329">
        <v>5</v>
      </c>
      <c r="H33" s="263"/>
    </row>
    <row r="34" spans="1:8" ht="13.5" customHeight="1" thickBot="1">
      <c r="A34" s="263"/>
      <c r="B34" s="327" t="s">
        <v>145</v>
      </c>
      <c r="C34" s="329" t="s">
        <v>130</v>
      </c>
      <c r="D34" s="330">
        <v>4.0199999999999996</v>
      </c>
      <c r="E34" s="329" t="s">
        <v>106</v>
      </c>
      <c r="F34" s="330">
        <v>30.04</v>
      </c>
      <c r="G34" s="329">
        <v>5</v>
      </c>
      <c r="H34" s="263"/>
    </row>
    <row r="35" spans="1:8" ht="13.5" customHeight="1" thickBot="1">
      <c r="A35" s="263"/>
      <c r="B35" s="327" t="s">
        <v>28</v>
      </c>
      <c r="C35" s="329" t="s">
        <v>198</v>
      </c>
      <c r="D35" s="330">
        <v>2.1</v>
      </c>
      <c r="E35" s="329" t="s">
        <v>91</v>
      </c>
      <c r="F35" s="330">
        <v>17</v>
      </c>
      <c r="G35" s="329">
        <v>10</v>
      </c>
      <c r="H35" s="263"/>
    </row>
    <row r="36" spans="1:8" ht="13.5" customHeight="1" thickBot="1">
      <c r="A36" s="263"/>
      <c r="B36" s="327" t="s">
        <v>83</v>
      </c>
      <c r="C36" s="329" t="s">
        <v>130</v>
      </c>
      <c r="D36" s="330">
        <v>2.62</v>
      </c>
      <c r="E36" s="329" t="s">
        <v>91</v>
      </c>
      <c r="F36" s="330">
        <v>8.43</v>
      </c>
      <c r="G36" s="329">
        <v>16</v>
      </c>
      <c r="H36" s="263"/>
    </row>
    <row r="37" spans="1:8" ht="13.5" customHeight="1" thickBot="1">
      <c r="A37" s="263"/>
      <c r="B37" s="327" t="s">
        <v>146</v>
      </c>
      <c r="C37" s="329" t="s">
        <v>175</v>
      </c>
      <c r="D37" s="330">
        <v>2.19</v>
      </c>
      <c r="E37" s="329" t="s">
        <v>176</v>
      </c>
      <c r="F37" s="330">
        <v>8.48</v>
      </c>
      <c r="G37" s="329">
        <v>9</v>
      </c>
      <c r="H37" s="263"/>
    </row>
    <row r="38" spans="1:8" ht="13.5" customHeight="1" thickBot="1">
      <c r="A38" s="263"/>
      <c r="B38" s="327" t="s">
        <v>147</v>
      </c>
      <c r="C38" s="329" t="s">
        <v>130</v>
      </c>
      <c r="D38" s="330">
        <v>3.37</v>
      </c>
      <c r="E38" s="329" t="s">
        <v>177</v>
      </c>
      <c r="F38" s="330">
        <v>24.62</v>
      </c>
      <c r="G38" s="329">
        <v>6</v>
      </c>
      <c r="H38" s="263"/>
    </row>
    <row r="39" spans="1:8" ht="13.5" customHeight="1" thickBot="1">
      <c r="A39" s="263"/>
      <c r="B39" s="327" t="s">
        <v>148</v>
      </c>
      <c r="C39" s="329" t="s">
        <v>130</v>
      </c>
      <c r="D39" s="330">
        <v>2.27</v>
      </c>
      <c r="E39" s="329" t="s">
        <v>154</v>
      </c>
      <c r="F39" s="330">
        <v>14.93</v>
      </c>
      <c r="G39" s="329">
        <v>8</v>
      </c>
      <c r="H39" s="263"/>
    </row>
    <row r="40" spans="1:8" ht="13.5" customHeight="1" thickBot="1">
      <c r="A40" s="263"/>
      <c r="B40" s="327" t="s">
        <v>149</v>
      </c>
      <c r="C40" s="329" t="s">
        <v>178</v>
      </c>
      <c r="D40" s="330">
        <v>0.52</v>
      </c>
      <c r="E40" s="329" t="s">
        <v>179</v>
      </c>
      <c r="F40" s="330">
        <v>3.85</v>
      </c>
      <c r="G40" s="329">
        <v>4</v>
      </c>
      <c r="H40" s="263"/>
    </row>
    <row r="41" spans="1:8" ht="13.5" customHeight="1" thickBot="1">
      <c r="A41" s="263"/>
      <c r="B41" s="327" t="s">
        <v>84</v>
      </c>
      <c r="C41" s="329" t="s">
        <v>132</v>
      </c>
      <c r="D41" s="330">
        <v>5.2</v>
      </c>
      <c r="E41" s="329" t="s">
        <v>108</v>
      </c>
      <c r="F41" s="330">
        <v>7.44</v>
      </c>
      <c r="G41" s="329">
        <v>43</v>
      </c>
      <c r="H41" s="263"/>
    </row>
    <row r="42" spans="1:8" ht="13.5" customHeight="1" thickBot="1">
      <c r="A42" s="263"/>
      <c r="B42" s="327" t="s">
        <v>88</v>
      </c>
      <c r="C42" s="329" t="s">
        <v>132</v>
      </c>
      <c r="D42" s="330">
        <v>5.0999999999999996</v>
      </c>
      <c r="E42" s="329" t="s">
        <v>108</v>
      </c>
      <c r="F42" s="330">
        <v>24.1</v>
      </c>
      <c r="G42" s="329">
        <v>43</v>
      </c>
      <c r="H42" s="263"/>
    </row>
    <row r="43" spans="1:8" ht="13.5" customHeight="1" thickBot="1">
      <c r="A43" s="263"/>
      <c r="B43" s="327" t="s">
        <v>32</v>
      </c>
      <c r="C43" s="329" t="s">
        <v>172</v>
      </c>
      <c r="D43" s="330">
        <v>6.66</v>
      </c>
      <c r="E43" s="329" t="s">
        <v>180</v>
      </c>
      <c r="F43" s="330">
        <v>5.8</v>
      </c>
      <c r="G43" s="329">
        <v>5</v>
      </c>
      <c r="H43" s="263"/>
    </row>
    <row r="44" spans="1:8" ht="13.5" customHeight="1" thickBot="1">
      <c r="A44" s="263"/>
      <c r="B44" s="327" t="s">
        <v>85</v>
      </c>
      <c r="C44" s="329" t="s">
        <v>130</v>
      </c>
      <c r="D44" s="330">
        <v>4.4000000000000004</v>
      </c>
      <c r="E44" s="329" t="s">
        <v>91</v>
      </c>
      <c r="F44" s="330">
        <v>9</v>
      </c>
      <c r="G44" s="329">
        <v>12</v>
      </c>
      <c r="H44" s="263"/>
    </row>
    <row r="45" spans="1:8" ht="13.5" customHeight="1" thickBot="1">
      <c r="A45" s="263"/>
      <c r="B45" s="327" t="s">
        <v>86</v>
      </c>
      <c r="C45" s="329" t="s">
        <v>129</v>
      </c>
      <c r="D45" s="330">
        <v>3</v>
      </c>
      <c r="E45" s="329" t="s">
        <v>181</v>
      </c>
      <c r="F45" s="330">
        <v>9.3800000000000008</v>
      </c>
      <c r="G45" s="329">
        <v>11</v>
      </c>
      <c r="H45" s="263"/>
    </row>
    <row r="46" spans="1:8" ht="13.5" customHeight="1" thickBot="1">
      <c r="A46" s="263"/>
      <c r="B46" s="327" t="s">
        <v>35</v>
      </c>
      <c r="C46" s="329" t="s">
        <v>131</v>
      </c>
      <c r="D46" s="330">
        <v>3.13</v>
      </c>
      <c r="E46" s="329" t="s">
        <v>107</v>
      </c>
      <c r="F46" s="330">
        <v>11.87</v>
      </c>
      <c r="G46" s="329">
        <v>11</v>
      </c>
      <c r="H46" s="263"/>
    </row>
    <row r="47" spans="1:8" ht="6" customHeight="1">
      <c r="A47" s="263"/>
      <c r="B47" s="288"/>
      <c r="C47" s="288"/>
      <c r="D47" s="288"/>
      <c r="E47" s="288"/>
      <c r="F47" s="288"/>
      <c r="G47" s="288"/>
      <c r="H47" s="263"/>
    </row>
    <row r="48" spans="1:8">
      <c r="A48" s="263"/>
      <c r="B48" s="345" t="s">
        <v>232</v>
      </c>
      <c r="C48" s="331"/>
      <c r="D48" s="331"/>
      <c r="E48" s="331"/>
      <c r="F48" s="331"/>
      <c r="G48" s="331"/>
      <c r="H48" s="263"/>
    </row>
    <row r="49" spans="1:8">
      <c r="A49" s="263"/>
      <c r="B49" s="263"/>
      <c r="C49" s="263"/>
      <c r="D49" s="263"/>
      <c r="E49" s="263"/>
      <c r="F49" s="263"/>
      <c r="G49" s="263"/>
      <c r="H49" s="263"/>
    </row>
  </sheetData>
  <customSheetViews>
    <customSheetView guid="{E9B43C8C-734F-433D-AD37-344F9303B5CC}" showPageBreaks="1" showGridLines="0" showRuler="0">
      <pane ySplit="14" topLeftCell="A35" activePane="bottomLeft"/>
      <selection pane="bottomLeft" activeCell="D42" sqref="D42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1"/>
      <headerFooter alignWithMargins="0"/>
    </customSheetView>
    <customSheetView guid="{9BF398E0-33D8-4E64-94A2-9B7C822C8383}" showPageBreaks="1" showGridLines="0" showRuler="0">
      <pane xSplit="6" ySplit="9.6666666666666661" topLeftCell="G33" activePane="bottomLeft"/>
      <selection pane="bottomLeft" activeCell="A47" sqref="A47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2"/>
      <headerFooter alignWithMargins="0"/>
    </customSheetView>
    <customSheetView guid="{6DCFE324-2DF9-4BB0-88BD-A4AD316C7A9E}" showPageBreaks="1" showGridLines="0" printArea="1" showRuler="0">
      <pane ySplit="19.444444444444443" topLeftCell="A41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3"/>
      <headerFooter alignWithMargins="0"/>
    </customSheetView>
    <customSheetView guid="{48A744A8-8180-4A3B-8108-49EF41816969}" showGridLines="0" showRuler="0" topLeftCell="B1">
      <pane ySplit="14" topLeftCell="A38" activePane="bottomLeft"/>
      <selection pane="bottomLeft" activeCell="E43" sqref="E43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4"/>
      <headerFooter alignWithMargins="0"/>
    </customSheetView>
    <customSheetView guid="{9E220BD5-A526-40BD-8239-3A0461590922}" showGridLines="0" showRuler="0">
      <pane ySplit="14" topLeftCell="A35" activePane="bottomLeft"/>
      <selection pane="bottomLeft" activeCell="D42" sqref="D42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5"/>
      <headerFooter alignWithMargins="0"/>
    </customSheetView>
  </customSheetViews>
  <mergeCells count="5">
    <mergeCell ref="B5:B7"/>
    <mergeCell ref="E6:F6"/>
    <mergeCell ref="G6:G7"/>
    <mergeCell ref="C5:G5"/>
    <mergeCell ref="C6:D6"/>
  </mergeCells>
  <phoneticPr fontId="9" type="noConversion"/>
  <printOptions horizontalCentered="1"/>
  <pageMargins left="0.19685039370078741" right="0.19685039370078741" top="0.59055118110236227" bottom="0.59055118110236227" header="0.39370078740157483" footer="0.39370078740157483"/>
  <pageSetup orientation="portrait" r:id="rId6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B2:O48"/>
  <sheetViews>
    <sheetView showGridLines="0" zoomScale="50" zoomScaleNormal="50" workbookViewId="0">
      <selection activeCell="T49" sqref="T49"/>
    </sheetView>
  </sheetViews>
  <sheetFormatPr baseColWidth="10" defaultRowHeight="12.75"/>
  <cols>
    <col min="1" max="1" width="3.85546875" style="535" customWidth="1"/>
    <col min="2" max="14" width="11.42578125" style="535"/>
    <col min="15" max="15" width="9.5703125" style="535" customWidth="1"/>
    <col min="16" max="16384" width="11.42578125" style="535"/>
  </cols>
  <sheetData>
    <row r="2" spans="2:15" ht="19.5" customHeight="1">
      <c r="B2" s="1411" t="s">
        <v>598</v>
      </c>
      <c r="C2" s="1412"/>
      <c r="D2" s="1412"/>
      <c r="E2" s="1412"/>
      <c r="F2" s="1412"/>
      <c r="G2" s="1412"/>
      <c r="H2" s="1412"/>
      <c r="I2" s="1412"/>
      <c r="J2" s="1412"/>
      <c r="K2" s="1412"/>
      <c r="L2" s="1412"/>
      <c r="M2" s="1412"/>
      <c r="N2" s="1412"/>
      <c r="O2" s="1412"/>
    </row>
    <row r="3" spans="2:15" ht="21" customHeight="1">
      <c r="B3" s="1411" t="s">
        <v>396</v>
      </c>
      <c r="C3" s="1412"/>
      <c r="D3" s="1412"/>
      <c r="E3" s="1412"/>
      <c r="F3" s="1412"/>
      <c r="G3" s="1412"/>
      <c r="H3" s="1412"/>
      <c r="I3" s="1412"/>
      <c r="J3" s="1412"/>
      <c r="K3" s="1412"/>
      <c r="L3" s="1412"/>
      <c r="M3" s="1412"/>
      <c r="N3" s="1412"/>
      <c r="O3" s="1412"/>
    </row>
    <row r="4" spans="2:15" ht="15" customHeight="1">
      <c r="B4" s="1413"/>
      <c r="C4" s="1411"/>
      <c r="D4" s="1414"/>
      <c r="E4" s="1414"/>
      <c r="F4" s="1414"/>
      <c r="G4" s="1414"/>
      <c r="H4" s="1414"/>
      <c r="I4" s="1415"/>
      <c r="J4" s="1413"/>
      <c r="K4" s="1411"/>
      <c r="L4" s="1414"/>
      <c r="M4" s="1414"/>
      <c r="N4" s="1414"/>
      <c r="O4" s="1414"/>
    </row>
    <row r="5" spans="2:15" ht="15" customHeight="1">
      <c r="B5" s="663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64"/>
    </row>
    <row r="6" spans="2:15" ht="15" customHeight="1">
      <c r="B6" s="663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64"/>
    </row>
    <row r="7" spans="2:15" ht="15" customHeight="1">
      <c r="B7" s="663"/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64"/>
    </row>
    <row r="8" spans="2:15" ht="15" customHeight="1">
      <c r="B8" s="663"/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64"/>
    </row>
    <row r="9" spans="2:15" ht="15" customHeight="1">
      <c r="B9" s="663"/>
      <c r="C9" s="617"/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617"/>
      <c r="O9" s="664"/>
    </row>
    <row r="10" spans="2:15" ht="15" customHeight="1">
      <c r="B10" s="663"/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64"/>
    </row>
    <row r="11" spans="2:15" ht="15" customHeight="1">
      <c r="B11" s="663"/>
      <c r="C11" s="617"/>
      <c r="D11" s="617"/>
      <c r="E11" s="617"/>
      <c r="F11" s="617"/>
      <c r="G11" s="617"/>
      <c r="H11" s="617"/>
      <c r="I11" s="617"/>
      <c r="J11" s="617"/>
      <c r="K11" s="617"/>
      <c r="L11" s="617"/>
      <c r="M11" s="617"/>
      <c r="N11" s="617"/>
      <c r="O11" s="664"/>
    </row>
    <row r="12" spans="2:15" ht="15" customHeight="1">
      <c r="B12" s="663"/>
      <c r="C12" s="617"/>
      <c r="D12" s="617"/>
      <c r="E12" s="617"/>
      <c r="F12" s="617"/>
      <c r="G12" s="617"/>
      <c r="H12" s="617"/>
      <c r="I12" s="617"/>
      <c r="J12" s="617"/>
      <c r="K12" s="617"/>
      <c r="L12" s="617"/>
      <c r="M12" s="617"/>
      <c r="N12" s="617"/>
      <c r="O12" s="664"/>
    </row>
    <row r="13" spans="2:15" ht="15" customHeight="1">
      <c r="B13" s="663"/>
      <c r="C13" s="617"/>
      <c r="D13" s="617"/>
      <c r="E13" s="617"/>
      <c r="F13" s="617"/>
      <c r="G13" s="617"/>
      <c r="H13" s="617"/>
      <c r="I13" s="617"/>
      <c r="J13" s="617"/>
      <c r="K13" s="617"/>
      <c r="L13" s="617"/>
      <c r="M13" s="617"/>
      <c r="N13" s="617"/>
      <c r="O13" s="664"/>
    </row>
    <row r="14" spans="2:15" ht="15" customHeight="1">
      <c r="B14" s="663"/>
      <c r="C14" s="617"/>
      <c r="D14" s="617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64"/>
    </row>
    <row r="15" spans="2:15" ht="15" customHeight="1">
      <c r="B15" s="663"/>
      <c r="C15" s="617"/>
      <c r="D15" s="617"/>
      <c r="E15" s="617"/>
      <c r="F15" s="617"/>
      <c r="G15" s="617"/>
      <c r="H15" s="617"/>
      <c r="I15" s="617"/>
      <c r="J15" s="617"/>
      <c r="K15" s="617"/>
      <c r="L15" s="617"/>
      <c r="M15" s="617"/>
      <c r="N15" s="617"/>
      <c r="O15" s="664"/>
    </row>
    <row r="16" spans="2:15" ht="15" customHeight="1">
      <c r="B16" s="663"/>
      <c r="C16" s="617"/>
      <c r="D16" s="617"/>
      <c r="E16" s="617"/>
      <c r="F16" s="617"/>
      <c r="G16" s="617"/>
      <c r="H16" s="617"/>
      <c r="I16" s="617"/>
      <c r="J16" s="617"/>
      <c r="K16" s="617"/>
      <c r="L16" s="617"/>
      <c r="M16" s="617"/>
      <c r="N16" s="617"/>
      <c r="O16" s="664"/>
    </row>
    <row r="17" spans="2:15" ht="15" customHeight="1">
      <c r="B17" s="663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64"/>
    </row>
    <row r="18" spans="2:15" ht="15" customHeight="1">
      <c r="B18" s="663"/>
      <c r="C18" s="617"/>
      <c r="D18" s="617"/>
      <c r="E18" s="617"/>
      <c r="F18" s="617"/>
      <c r="G18" s="617"/>
      <c r="H18" s="617"/>
      <c r="I18" s="617"/>
      <c r="J18" s="617"/>
      <c r="K18" s="617"/>
      <c r="L18" s="617"/>
      <c r="M18" s="617"/>
      <c r="N18" s="617"/>
      <c r="O18" s="664"/>
    </row>
    <row r="19" spans="2:15" ht="15" customHeight="1">
      <c r="B19" s="663"/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617"/>
      <c r="N19" s="617"/>
      <c r="O19" s="664"/>
    </row>
    <row r="20" spans="2:15" ht="15" customHeight="1">
      <c r="B20" s="663"/>
      <c r="C20" s="617"/>
      <c r="D20" s="617"/>
      <c r="E20" s="617"/>
      <c r="F20" s="617"/>
      <c r="G20" s="617"/>
      <c r="H20" s="617"/>
      <c r="I20" s="617"/>
      <c r="J20" s="617"/>
      <c r="K20" s="617"/>
      <c r="L20" s="617"/>
      <c r="M20" s="617"/>
      <c r="N20" s="617"/>
      <c r="O20" s="664"/>
    </row>
    <row r="21" spans="2:15" ht="15" customHeight="1">
      <c r="B21" s="663"/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64"/>
    </row>
    <row r="22" spans="2:15" ht="15" customHeight="1">
      <c r="B22" s="663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64"/>
    </row>
    <row r="23" spans="2:15" ht="15" customHeight="1">
      <c r="B23" s="663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64"/>
    </row>
    <row r="24" spans="2:15" ht="15" customHeight="1">
      <c r="B24" s="663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64"/>
    </row>
    <row r="25" spans="2:15" ht="15" customHeight="1">
      <c r="B25" s="663"/>
      <c r="C25" s="617"/>
      <c r="D25" s="617"/>
      <c r="E25" s="617"/>
      <c r="F25" s="617"/>
      <c r="G25" s="617"/>
      <c r="H25" s="617"/>
      <c r="I25" s="617"/>
      <c r="J25" s="617"/>
      <c r="K25" s="617"/>
      <c r="L25" s="617"/>
      <c r="M25" s="617"/>
      <c r="N25" s="617"/>
      <c r="O25" s="664"/>
    </row>
    <row r="26" spans="2:15" ht="15" customHeight="1">
      <c r="B26" s="663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64"/>
    </row>
    <row r="27" spans="2:15" ht="15" customHeight="1">
      <c r="B27" s="663"/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64"/>
    </row>
    <row r="28" spans="2:15" ht="15" customHeight="1">
      <c r="B28" s="663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64"/>
    </row>
    <row r="29" spans="2:15" ht="15" customHeight="1">
      <c r="B29" s="663"/>
      <c r="C29" s="617"/>
      <c r="D29" s="617"/>
      <c r="E29" s="617"/>
      <c r="F29" s="617"/>
      <c r="G29" s="617"/>
      <c r="H29" s="617"/>
      <c r="I29" s="617"/>
      <c r="J29" s="617"/>
      <c r="K29" s="617"/>
      <c r="L29" s="617"/>
      <c r="M29" s="617"/>
      <c r="N29" s="617"/>
      <c r="O29" s="664"/>
    </row>
    <row r="30" spans="2:15" ht="15" customHeight="1">
      <c r="B30" s="663"/>
      <c r="C30" s="617"/>
      <c r="D30" s="617"/>
      <c r="E30" s="617"/>
      <c r="F30" s="617"/>
      <c r="G30" s="617"/>
      <c r="H30" s="617"/>
      <c r="I30" s="617"/>
      <c r="J30" s="617"/>
      <c r="K30" s="617"/>
      <c r="L30" s="617"/>
      <c r="M30" s="617"/>
      <c r="N30" s="617"/>
      <c r="O30" s="664"/>
    </row>
    <row r="31" spans="2:15" ht="15" customHeight="1">
      <c r="B31" s="663"/>
      <c r="C31" s="617"/>
      <c r="D31" s="617"/>
      <c r="E31" s="617"/>
      <c r="F31" s="617"/>
      <c r="G31" s="617"/>
      <c r="H31" s="617"/>
      <c r="I31" s="617"/>
      <c r="J31" s="617"/>
      <c r="K31" s="617"/>
      <c r="L31" s="617"/>
      <c r="M31" s="617"/>
      <c r="N31" s="617"/>
      <c r="O31" s="664"/>
    </row>
    <row r="32" spans="2:15" ht="15" customHeight="1">
      <c r="B32" s="663"/>
      <c r="C32" s="617"/>
      <c r="D32" s="617"/>
      <c r="E32" s="617"/>
      <c r="F32" s="617"/>
      <c r="G32" s="617"/>
      <c r="H32" s="617"/>
      <c r="I32" s="617"/>
      <c r="J32" s="617"/>
      <c r="K32" s="617"/>
      <c r="L32" s="617"/>
      <c r="M32" s="617"/>
      <c r="N32" s="617"/>
      <c r="O32" s="664"/>
    </row>
    <row r="33" spans="2:15" ht="15" customHeight="1">
      <c r="B33" s="663"/>
      <c r="C33" s="617"/>
      <c r="D33" s="617"/>
      <c r="E33" s="617"/>
      <c r="F33" s="617"/>
      <c r="G33" s="617"/>
      <c r="H33" s="617"/>
      <c r="I33" s="617"/>
      <c r="J33" s="617"/>
      <c r="K33" s="617"/>
      <c r="L33" s="617"/>
      <c r="M33" s="617"/>
      <c r="N33" s="617"/>
      <c r="O33" s="664"/>
    </row>
    <row r="34" spans="2:15" ht="15" customHeight="1">
      <c r="B34" s="663"/>
      <c r="C34" s="617"/>
      <c r="D34" s="617"/>
      <c r="E34" s="617"/>
      <c r="F34" s="617"/>
      <c r="G34" s="617"/>
      <c r="H34" s="617"/>
      <c r="I34" s="617"/>
      <c r="J34" s="617"/>
      <c r="K34" s="617"/>
      <c r="L34" s="617"/>
      <c r="M34" s="617"/>
      <c r="N34" s="617"/>
      <c r="O34" s="664"/>
    </row>
    <row r="35" spans="2:15" ht="15" customHeight="1">
      <c r="B35" s="663"/>
      <c r="C35" s="617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617"/>
      <c r="O35" s="664"/>
    </row>
    <row r="36" spans="2:15" ht="15" customHeight="1">
      <c r="B36" s="663"/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64"/>
    </row>
    <row r="37" spans="2:15" ht="15" customHeight="1">
      <c r="B37" s="663"/>
      <c r="C37" s="617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64"/>
    </row>
    <row r="38" spans="2:15" ht="15" customHeight="1">
      <c r="B38" s="663"/>
      <c r="C38" s="617"/>
      <c r="D38" s="617"/>
      <c r="E38" s="617"/>
      <c r="F38" s="617"/>
      <c r="G38" s="617"/>
      <c r="H38" s="617"/>
      <c r="I38" s="617"/>
      <c r="J38" s="617"/>
      <c r="K38" s="617"/>
      <c r="L38" s="617"/>
      <c r="M38" s="617"/>
      <c r="N38" s="617"/>
      <c r="O38" s="664"/>
    </row>
    <row r="39" spans="2:15" ht="15" customHeight="1">
      <c r="B39" s="663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64"/>
    </row>
    <row r="40" spans="2:15" ht="15" customHeight="1">
      <c r="B40" s="663"/>
      <c r="C40" s="617"/>
      <c r="D40" s="617"/>
      <c r="E40" s="617"/>
      <c r="F40" s="617"/>
      <c r="G40" s="617"/>
      <c r="H40" s="617"/>
      <c r="I40" s="617"/>
      <c r="J40" s="617"/>
      <c r="K40" s="617"/>
      <c r="L40" s="617"/>
      <c r="M40" s="617"/>
      <c r="N40" s="617"/>
      <c r="O40" s="664"/>
    </row>
    <row r="41" spans="2:15" ht="15" customHeight="1">
      <c r="B41" s="663"/>
      <c r="C41" s="617"/>
      <c r="D41" s="617"/>
      <c r="E41" s="617"/>
      <c r="F41" s="617"/>
      <c r="G41" s="617"/>
      <c r="H41" s="617"/>
      <c r="I41" s="617"/>
      <c r="J41" s="617"/>
      <c r="K41" s="617"/>
      <c r="L41" s="617"/>
      <c r="M41" s="617"/>
      <c r="N41" s="617"/>
      <c r="O41" s="664"/>
    </row>
    <row r="42" spans="2:15" ht="15" customHeight="1">
      <c r="B42" s="663"/>
      <c r="C42" s="617"/>
      <c r="D42" s="617"/>
      <c r="E42" s="617"/>
      <c r="F42" s="617"/>
      <c r="G42" s="617"/>
      <c r="H42" s="617"/>
      <c r="I42" s="617"/>
      <c r="J42" s="617"/>
      <c r="K42" s="617"/>
      <c r="L42" s="617"/>
      <c r="M42" s="617"/>
      <c r="N42" s="617"/>
      <c r="O42" s="664"/>
    </row>
    <row r="43" spans="2:15" ht="15" customHeight="1">
      <c r="B43" s="663"/>
      <c r="C43" s="617"/>
      <c r="D43" s="617"/>
      <c r="E43" s="617"/>
      <c r="F43" s="617"/>
      <c r="G43" s="617"/>
      <c r="H43" s="617"/>
      <c r="I43" s="617"/>
      <c r="J43" s="617"/>
      <c r="K43" s="617"/>
      <c r="L43" s="617"/>
      <c r="M43" s="617"/>
      <c r="N43" s="617"/>
      <c r="O43" s="664"/>
    </row>
    <row r="44" spans="2:15" ht="15" customHeight="1">
      <c r="B44" s="663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64"/>
    </row>
    <row r="45" spans="2:15" ht="15" customHeight="1">
      <c r="B45" s="663"/>
      <c r="C45" s="617"/>
      <c r="D45" s="617"/>
      <c r="E45" s="617"/>
      <c r="F45" s="617"/>
      <c r="G45" s="617"/>
      <c r="H45" s="617"/>
      <c r="I45" s="617"/>
      <c r="J45" s="617"/>
      <c r="K45" s="617"/>
      <c r="L45" s="617"/>
      <c r="M45" s="617"/>
      <c r="N45" s="617"/>
      <c r="O45" s="664"/>
    </row>
    <row r="46" spans="2:15" ht="15" customHeight="1">
      <c r="B46" s="663"/>
      <c r="C46" s="617"/>
      <c r="D46" s="617"/>
      <c r="E46" s="617"/>
      <c r="F46" s="617"/>
      <c r="G46" s="617"/>
      <c r="H46" s="617"/>
      <c r="I46" s="617"/>
      <c r="J46" s="617"/>
      <c r="K46" s="617"/>
      <c r="L46" s="617"/>
      <c r="M46" s="617"/>
      <c r="N46" s="617"/>
      <c r="O46" s="664"/>
    </row>
    <row r="47" spans="2:15" ht="15" customHeight="1" thickBot="1">
      <c r="B47" s="665"/>
      <c r="C47" s="666"/>
      <c r="D47" s="666"/>
      <c r="E47" s="666"/>
      <c r="F47" s="666"/>
      <c r="G47" s="666"/>
      <c r="H47" s="666"/>
      <c r="I47" s="666"/>
      <c r="J47" s="666"/>
      <c r="K47" s="666"/>
      <c r="L47" s="666"/>
      <c r="M47" s="666"/>
      <c r="N47" s="666"/>
      <c r="O47" s="667"/>
    </row>
    <row r="48" spans="2:15" ht="13.5" thickTop="1"/>
  </sheetData>
  <sheetProtection password="CF4C" sheet="1" objects="1" scenarios="1"/>
  <mergeCells count="4">
    <mergeCell ref="B2:O2"/>
    <mergeCell ref="B4:I4"/>
    <mergeCell ref="J4:O4"/>
    <mergeCell ref="B3:O3"/>
  </mergeCells>
  <printOptions horizontalCentered="1"/>
  <pageMargins left="0.59055118110236227" right="0.47244094488188981" top="0.74803149606299213" bottom="0.74803149606299213" header="0.31496062992125984" footer="0.31496062992125984"/>
  <pageSetup scale="68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B2:I43"/>
  <sheetViews>
    <sheetView showGridLines="0" topLeftCell="A4" zoomScale="50" zoomScaleNormal="50" workbookViewId="0">
      <selection activeCell="Q16" sqref="Q16"/>
    </sheetView>
  </sheetViews>
  <sheetFormatPr baseColWidth="10" defaultRowHeight="13.5"/>
  <cols>
    <col min="1" max="1" width="2.7109375" style="534" customWidth="1"/>
    <col min="2" max="7" width="11.42578125" style="534"/>
    <col min="8" max="8" width="12.85546875" style="534" customWidth="1"/>
    <col min="9" max="16384" width="11.42578125" style="534"/>
  </cols>
  <sheetData>
    <row r="2" spans="2:9" ht="15.75">
      <c r="B2" s="1411" t="s">
        <v>597</v>
      </c>
      <c r="C2" s="1411"/>
      <c r="D2" s="1414"/>
      <c r="E2" s="1414"/>
      <c r="F2" s="1414"/>
      <c r="G2" s="1414"/>
      <c r="H2" s="1414"/>
      <c r="I2" s="1414"/>
    </row>
    <row r="3" spans="2:9" ht="15.75">
      <c r="B3" s="1411" t="s">
        <v>396</v>
      </c>
      <c r="C3" s="1411"/>
      <c r="D3" s="1411"/>
      <c r="E3" s="1411"/>
      <c r="F3" s="1411"/>
      <c r="G3" s="1411"/>
      <c r="H3" s="1411"/>
      <c r="I3" s="1411"/>
    </row>
    <row r="5" spans="2:9" ht="13.5" customHeight="1"/>
    <row r="16" spans="2:9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</sheetData>
  <sheetProtection password="CF4C" sheet="1" objects="1" scenarios="1"/>
  <mergeCells count="5">
    <mergeCell ref="B2:I2"/>
    <mergeCell ref="B3:C3"/>
    <mergeCell ref="D3:E3"/>
    <mergeCell ref="F3:G3"/>
    <mergeCell ref="H3:I3"/>
  </mergeCells>
  <printOptions horizontalCentered="1"/>
  <pageMargins left="0.47244094488188981" right="0.55118110236220474" top="0.55118110236220474" bottom="0.51181102362204722" header="0" footer="0"/>
  <pageSetup scale="6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 enableFormatConditionsCalculation="0">
    <tabColor theme="9" tint="-0.249977111117893"/>
  </sheetPr>
  <dimension ref="A1:G50"/>
  <sheetViews>
    <sheetView showGridLines="0" zoomScale="130" zoomScaleNormal="130" workbookViewId="0">
      <selection activeCell="G6" sqref="G6"/>
    </sheetView>
  </sheetViews>
  <sheetFormatPr baseColWidth="10" defaultRowHeight="12.75"/>
  <cols>
    <col min="1" max="1" width="1.7109375" customWidth="1"/>
    <col min="2" max="2" width="22.7109375" customWidth="1"/>
    <col min="3" max="3" width="18.28515625" bestFit="1" customWidth="1"/>
    <col min="4" max="4" width="17.140625" bestFit="1" customWidth="1"/>
    <col min="5" max="5" width="18.28515625" bestFit="1" customWidth="1"/>
    <col min="6" max="6" width="10.28515625" customWidth="1"/>
  </cols>
  <sheetData>
    <row r="1" spans="1:7" s="46" customFormat="1" ht="12" customHeight="1">
      <c r="A1" s="261"/>
      <c r="B1" s="259"/>
      <c r="C1" s="260"/>
      <c r="D1" s="260"/>
      <c r="E1" s="260"/>
    </row>
    <row r="2" spans="1:7" ht="15" customHeight="1">
      <c r="A2" s="262"/>
      <c r="B2" s="1098" t="s">
        <v>516</v>
      </c>
      <c r="C2" s="1098"/>
      <c r="D2" s="1098"/>
      <c r="E2" s="1098"/>
      <c r="G2" s="263"/>
    </row>
    <row r="3" spans="1:7" ht="15.75" thickBot="1">
      <c r="A3" s="400"/>
      <c r="B3" s="412" t="s">
        <v>112</v>
      </c>
      <c r="C3" s="394"/>
      <c r="D3" s="394"/>
      <c r="E3" s="394"/>
      <c r="G3" s="263"/>
    </row>
    <row r="4" spans="1:7" ht="21" customHeight="1" thickBot="1">
      <c r="A4" s="263"/>
      <c r="B4" s="441" t="s">
        <v>230</v>
      </c>
      <c r="C4" s="441" t="s">
        <v>287</v>
      </c>
      <c r="D4" s="441" t="s">
        <v>288</v>
      </c>
      <c r="E4" s="441" t="s">
        <v>255</v>
      </c>
    </row>
    <row r="5" spans="1:7" ht="13.5" thickBot="1">
      <c r="A5" s="263"/>
      <c r="B5" s="442" t="s">
        <v>6</v>
      </c>
      <c r="C5" s="481">
        <v>302.48121106114206</v>
      </c>
      <c r="D5" s="481">
        <v>26.361984149999998</v>
      </c>
      <c r="E5" s="482">
        <v>328.84319521114207</v>
      </c>
    </row>
    <row r="6" spans="1:7" ht="13.5" thickBot="1">
      <c r="A6" s="263"/>
      <c r="B6" s="443" t="s">
        <v>7</v>
      </c>
      <c r="C6" s="480">
        <v>744.16657223521213</v>
      </c>
      <c r="D6" s="480">
        <v>95.665947379999992</v>
      </c>
      <c r="E6" s="482">
        <v>839.83251961521216</v>
      </c>
    </row>
    <row r="7" spans="1:7" ht="13.5" thickBot="1">
      <c r="A7" s="263"/>
      <c r="B7" s="442" t="s">
        <v>8</v>
      </c>
      <c r="C7" s="481">
        <v>325.88668867353948</v>
      </c>
      <c r="D7" s="481">
        <v>54.402493309999997</v>
      </c>
      <c r="E7" s="482">
        <v>380.28918198353949</v>
      </c>
    </row>
    <row r="8" spans="1:7" ht="13.5" thickBot="1">
      <c r="A8" s="263"/>
      <c r="B8" s="443" t="s">
        <v>9</v>
      </c>
      <c r="C8" s="480">
        <v>314.99689010637212</v>
      </c>
      <c r="D8" s="480">
        <v>93.864738419999995</v>
      </c>
      <c r="E8" s="482">
        <v>408.8616285263721</v>
      </c>
    </row>
    <row r="9" spans="1:7" ht="13.5" thickBot="1">
      <c r="A9" s="263"/>
      <c r="B9" s="442" t="s">
        <v>12</v>
      </c>
      <c r="C9" s="481">
        <v>504.98675906072998</v>
      </c>
      <c r="D9" s="481">
        <v>485.54556163000007</v>
      </c>
      <c r="E9" s="482">
        <v>990.5323206907301</v>
      </c>
    </row>
    <row r="10" spans="1:7" ht="13.5" thickBot="1">
      <c r="A10" s="263"/>
      <c r="B10" s="443" t="s">
        <v>13</v>
      </c>
      <c r="C10" s="480">
        <v>1081.888038272911</v>
      </c>
      <c r="D10" s="480">
        <v>249.20271066000001</v>
      </c>
      <c r="E10" s="482">
        <v>1331.0907489329111</v>
      </c>
    </row>
    <row r="11" spans="1:7" ht="13.5" thickBot="1">
      <c r="A11" s="263"/>
      <c r="B11" s="442" t="s">
        <v>223</v>
      </c>
      <c r="C11" s="481">
        <v>548.28232551111125</v>
      </c>
      <c r="D11" s="481">
        <v>63.111879689999995</v>
      </c>
      <c r="E11" s="482">
        <v>611.39420520111128</v>
      </c>
    </row>
    <row r="12" spans="1:7" ht="13.5" thickBot="1">
      <c r="A12" s="263"/>
      <c r="B12" s="443" t="s">
        <v>11</v>
      </c>
      <c r="C12" s="480">
        <v>89.491525493666501</v>
      </c>
      <c r="D12" s="480">
        <v>27.845122889999999</v>
      </c>
      <c r="E12" s="482">
        <v>117.3366483836665</v>
      </c>
    </row>
    <row r="13" spans="1:7" ht="13.5" thickBot="1">
      <c r="A13" s="263"/>
      <c r="B13" s="442" t="s">
        <v>14</v>
      </c>
      <c r="C13" s="481">
        <v>2918.8871633047647</v>
      </c>
      <c r="D13" s="481">
        <v>5.5935480000000002</v>
      </c>
      <c r="E13" s="482">
        <v>2924.4807113047646</v>
      </c>
    </row>
    <row r="14" spans="1:7" ht="13.5" thickBot="1">
      <c r="A14" s="263"/>
      <c r="B14" s="443" t="s">
        <v>15</v>
      </c>
      <c r="C14" s="480">
        <v>486.45928867623627</v>
      </c>
      <c r="D14" s="480">
        <v>188.03620821000001</v>
      </c>
      <c r="E14" s="482">
        <v>674.49549688623631</v>
      </c>
    </row>
    <row r="15" spans="1:7" ht="13.5" thickBot="1">
      <c r="A15" s="263"/>
      <c r="B15" s="442" t="s">
        <v>16</v>
      </c>
      <c r="C15" s="481">
        <v>844.21090393585393</v>
      </c>
      <c r="D15" s="481">
        <v>121.84568816937502</v>
      </c>
      <c r="E15" s="482">
        <v>966.0565921052289</v>
      </c>
    </row>
    <row r="16" spans="1:7" ht="13.5" thickBot="1">
      <c r="A16" s="263"/>
      <c r="B16" s="443" t="s">
        <v>17</v>
      </c>
      <c r="C16" s="480">
        <v>720.74939849447173</v>
      </c>
      <c r="D16" s="480">
        <v>543.13848654999993</v>
      </c>
      <c r="E16" s="482">
        <v>1263.8878850444717</v>
      </c>
    </row>
    <row r="17" spans="1:5" ht="13.5" thickBot="1">
      <c r="A17" s="263"/>
      <c r="B17" s="442" t="s">
        <v>18</v>
      </c>
      <c r="C17" s="481">
        <v>353.77727108545872</v>
      </c>
      <c r="D17" s="481">
        <v>272.876577059</v>
      </c>
      <c r="E17" s="482">
        <v>626.65384814445872</v>
      </c>
    </row>
    <row r="18" spans="1:5" ht="13.5" thickBot="1">
      <c r="A18" s="263"/>
      <c r="B18" s="443" t="s">
        <v>19</v>
      </c>
      <c r="C18" s="480">
        <v>1128.2232633585679</v>
      </c>
      <c r="D18" s="480">
        <v>198.03967728999999</v>
      </c>
      <c r="E18" s="482">
        <v>1326.262940648568</v>
      </c>
    </row>
    <row r="19" spans="1:5" ht="13.5" thickBot="1">
      <c r="A19" s="263"/>
      <c r="B19" s="442" t="s">
        <v>20</v>
      </c>
      <c r="C19" s="481">
        <v>1963.6806771977972</v>
      </c>
      <c r="D19" s="481">
        <v>137.08099360999998</v>
      </c>
      <c r="E19" s="482">
        <v>2100.7616708077971</v>
      </c>
    </row>
    <row r="20" spans="1:5" ht="13.5" thickBot="1">
      <c r="A20" s="263"/>
      <c r="B20" s="443" t="s">
        <v>224</v>
      </c>
      <c r="C20" s="480">
        <v>653.50835948098336</v>
      </c>
      <c r="D20" s="480">
        <v>250.13391407</v>
      </c>
      <c r="E20" s="482">
        <v>903.64227355098342</v>
      </c>
    </row>
    <row r="21" spans="1:5" ht="13.5" thickBot="1">
      <c r="A21" s="263"/>
      <c r="B21" s="442" t="s">
        <v>22</v>
      </c>
      <c r="C21" s="481">
        <v>583.23648427685998</v>
      </c>
      <c r="D21" s="481">
        <v>82.159005679999993</v>
      </c>
      <c r="E21" s="482">
        <v>665.39548995685993</v>
      </c>
    </row>
    <row r="22" spans="1:5" ht="13.5" thickBot="1">
      <c r="A22" s="263"/>
      <c r="B22" s="443" t="s">
        <v>23</v>
      </c>
      <c r="C22" s="480">
        <v>221.41112995575409</v>
      </c>
      <c r="D22" s="480">
        <v>132.02238288999999</v>
      </c>
      <c r="E22" s="482">
        <v>353.43351284575408</v>
      </c>
    </row>
    <row r="23" spans="1:5" ht="13.5" thickBot="1">
      <c r="A23" s="263"/>
      <c r="B23" s="442" t="s">
        <v>24</v>
      </c>
      <c r="C23" s="481">
        <v>1279.031270898942</v>
      </c>
      <c r="D23" s="481">
        <v>110.6019765465</v>
      </c>
      <c r="E23" s="482">
        <v>1389.6332474454421</v>
      </c>
    </row>
    <row r="24" spans="1:5" ht="13.5" thickBot="1">
      <c r="A24" s="263"/>
      <c r="B24" s="443" t="s">
        <v>25</v>
      </c>
      <c r="C24" s="480">
        <v>311.74050326995541</v>
      </c>
      <c r="D24" s="480">
        <v>435.38072670999998</v>
      </c>
      <c r="E24" s="482">
        <v>747.12122997995539</v>
      </c>
    </row>
    <row r="25" spans="1:5" ht="13.5" thickBot="1">
      <c r="A25" s="263"/>
      <c r="B25" s="442" t="s">
        <v>36</v>
      </c>
      <c r="C25" s="481">
        <v>401.3209641882832</v>
      </c>
      <c r="D25" s="481">
        <v>366.27084286049995</v>
      </c>
      <c r="E25" s="482">
        <v>767.59180704878315</v>
      </c>
    </row>
    <row r="26" spans="1:5" ht="13.5" thickBot="1">
      <c r="A26" s="263"/>
      <c r="B26" s="443" t="s">
        <v>225</v>
      </c>
      <c r="C26" s="480">
        <v>1824.5730981900076</v>
      </c>
      <c r="D26" s="480">
        <v>56.852340980000001</v>
      </c>
      <c r="E26" s="482">
        <v>1881.4254391700076</v>
      </c>
    </row>
    <row r="27" spans="1:5" ht="13.5" thickBot="1">
      <c r="A27" s="263"/>
      <c r="B27" s="442" t="s">
        <v>27</v>
      </c>
      <c r="C27" s="481">
        <v>341.96210175395584</v>
      </c>
      <c r="D27" s="481">
        <v>71.853850739999999</v>
      </c>
      <c r="E27" s="482">
        <v>413.81595249395582</v>
      </c>
    </row>
    <row r="28" spans="1:5" ht="13.5" thickBot="1">
      <c r="A28" s="263"/>
      <c r="B28" s="443" t="s">
        <v>28</v>
      </c>
      <c r="C28" s="480">
        <v>280.85783800701546</v>
      </c>
      <c r="D28" s="480">
        <v>260.50206777750003</v>
      </c>
      <c r="E28" s="482">
        <v>541.35990578451549</v>
      </c>
    </row>
    <row r="29" spans="1:5" ht="13.5" thickBot="1">
      <c r="A29" s="263"/>
      <c r="B29" s="442" t="s">
        <v>29</v>
      </c>
      <c r="C29" s="481">
        <v>549.63196566067791</v>
      </c>
      <c r="D29" s="481">
        <v>135.68815000649997</v>
      </c>
      <c r="E29" s="482">
        <v>685.3201156671779</v>
      </c>
    </row>
    <row r="30" spans="1:5" ht="13.5" thickBot="1">
      <c r="A30" s="263"/>
      <c r="B30" s="443" t="s">
        <v>37</v>
      </c>
      <c r="C30" s="480">
        <v>555.27854654088765</v>
      </c>
      <c r="D30" s="480">
        <v>30.62366703</v>
      </c>
      <c r="E30" s="482">
        <v>585.90221357088762</v>
      </c>
    </row>
    <row r="31" spans="1:5" ht="13.5" thickBot="1">
      <c r="A31" s="263"/>
      <c r="B31" s="442" t="s">
        <v>30</v>
      </c>
      <c r="C31" s="481">
        <v>401.2357309672214</v>
      </c>
      <c r="D31" s="481">
        <v>126.97115445714701</v>
      </c>
      <c r="E31" s="482">
        <v>528.20688542436847</v>
      </c>
    </row>
    <row r="32" spans="1:5" ht="13.5" thickBot="1">
      <c r="A32" s="263"/>
      <c r="B32" s="443" t="s">
        <v>31</v>
      </c>
      <c r="C32" s="480">
        <v>609.98872402535744</v>
      </c>
      <c r="D32" s="480">
        <v>175.00032854</v>
      </c>
      <c r="E32" s="482">
        <v>784.9890525653575</v>
      </c>
    </row>
    <row r="33" spans="1:7" ht="13.5" thickBot="1">
      <c r="A33" s="263"/>
      <c r="B33" s="442" t="s">
        <v>32</v>
      </c>
      <c r="C33" s="481">
        <v>116.59044677303909</v>
      </c>
      <c r="D33" s="481">
        <v>43.856818750000002</v>
      </c>
      <c r="E33" s="482">
        <v>160.44726552303911</v>
      </c>
    </row>
    <row r="34" spans="1:7" ht="13.5" thickBot="1">
      <c r="A34" s="263"/>
      <c r="B34" s="443" t="s">
        <v>262</v>
      </c>
      <c r="C34" s="480">
        <v>841.87973884380801</v>
      </c>
      <c r="D34" s="480">
        <v>517.05880702491493</v>
      </c>
      <c r="E34" s="482">
        <v>1358.9385458687229</v>
      </c>
    </row>
    <row r="35" spans="1:7" ht="13.5" thickBot="1">
      <c r="A35" s="263"/>
      <c r="B35" s="442" t="s">
        <v>34</v>
      </c>
      <c r="C35" s="481">
        <v>235.39810238028929</v>
      </c>
      <c r="D35" s="481">
        <v>127.11044919</v>
      </c>
      <c r="E35" s="482">
        <v>362.50855157028928</v>
      </c>
    </row>
    <row r="36" spans="1:7" ht="13.5" thickBot="1">
      <c r="A36" s="263"/>
      <c r="B36" s="443" t="s">
        <v>35</v>
      </c>
      <c r="C36" s="480">
        <v>395.5492642125115</v>
      </c>
      <c r="D36" s="480">
        <v>174.79909335999997</v>
      </c>
      <c r="E36" s="482">
        <v>570.34835757251153</v>
      </c>
    </row>
    <row r="37" spans="1:7" ht="15.75" thickBot="1">
      <c r="A37" s="263"/>
      <c r="B37" s="443" t="s">
        <v>603</v>
      </c>
      <c r="C37" s="480">
        <v>2558.5792809999998</v>
      </c>
      <c r="D37" s="480">
        <v>0</v>
      </c>
      <c r="E37" s="482">
        <v>2558.5792809999998</v>
      </c>
    </row>
    <row r="38" spans="1:7" ht="13.5" thickBot="1">
      <c r="A38" s="263"/>
      <c r="B38" s="442" t="s">
        <v>96</v>
      </c>
      <c r="C38" s="481">
        <v>96.970843916082373</v>
      </c>
      <c r="D38" s="481">
        <v>0.54725731000000011</v>
      </c>
      <c r="E38" s="482">
        <v>97.518101226082379</v>
      </c>
    </row>
    <row r="39" spans="1:7" ht="13.5" thickBot="1">
      <c r="A39" s="263"/>
      <c r="B39" s="444" t="s">
        <v>54</v>
      </c>
      <c r="C39" s="482">
        <v>24586.912370809467</v>
      </c>
      <c r="D39" s="482">
        <v>5660.0444509414365</v>
      </c>
      <c r="E39" s="482">
        <v>30246.956821750904</v>
      </c>
    </row>
    <row r="40" spans="1:7" ht="18" customHeight="1">
      <c r="A40" s="263"/>
      <c r="B40" s="1097" t="s">
        <v>624</v>
      </c>
      <c r="C40" s="1112"/>
      <c r="D40" s="1112"/>
      <c r="E40" s="1112"/>
      <c r="F40" s="136"/>
    </row>
    <row r="41" spans="1:7" ht="15" customHeight="1">
      <c r="A41" s="263"/>
      <c r="B41" s="1097" t="s">
        <v>277</v>
      </c>
      <c r="C41" s="1097"/>
      <c r="D41" s="1097"/>
      <c r="E41" s="1097"/>
      <c r="F41" s="185"/>
      <c r="G41" s="1"/>
    </row>
    <row r="42" spans="1:7">
      <c r="B42" s="23"/>
    </row>
    <row r="46" spans="1:7" ht="12" customHeight="1">
      <c r="B46" s="1111"/>
      <c r="C46" s="1111"/>
      <c r="D46" s="1111"/>
      <c r="E46" s="1111"/>
      <c r="F46" s="136"/>
    </row>
    <row r="49" spans="3:4">
      <c r="C49" s="53"/>
      <c r="D49" s="35"/>
    </row>
    <row r="50" spans="3:4">
      <c r="C50" s="35"/>
    </row>
  </sheetData>
  <sheetProtection password="CF4C" sheet="1" objects="1" scenarios="1"/>
  <mergeCells count="4">
    <mergeCell ref="B2:E2"/>
    <mergeCell ref="B46:E46"/>
    <mergeCell ref="B40:E40"/>
    <mergeCell ref="B41:E41"/>
  </mergeCells>
  <phoneticPr fontId="9" type="noConversion"/>
  <printOptions horizontalCentered="1"/>
  <pageMargins left="0.19685039370078741" right="0.19685039370078741" top="0.59055118110236227" bottom="0.59055118110236227" header="0.39370078740157483" footer="0.59055118110236227"/>
  <pageSetup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1" tint="4.9989318521683403E-2"/>
  </sheetPr>
  <dimension ref="A1:O79"/>
  <sheetViews>
    <sheetView workbookViewId="0">
      <selection activeCell="O30" sqref="O30"/>
    </sheetView>
  </sheetViews>
  <sheetFormatPr baseColWidth="10" defaultRowHeight="13.5"/>
  <cols>
    <col min="1" max="1" width="13.85546875" style="534" bestFit="1" customWidth="1"/>
    <col min="2" max="2" width="11.7109375" style="648" bestFit="1" customWidth="1"/>
    <col min="3" max="3" width="11.5703125" style="648" bestFit="1" customWidth="1"/>
    <col min="4" max="4" width="11.7109375" style="534" bestFit="1" customWidth="1"/>
    <col min="5" max="5" width="11.7109375" style="649" bestFit="1" customWidth="1"/>
    <col min="6" max="6" width="11.5703125" style="649" bestFit="1" customWidth="1"/>
    <col min="7" max="7" width="11.42578125" style="534"/>
    <col min="8" max="9" width="11.42578125" style="649"/>
    <col min="10" max="10" width="11.42578125" style="534"/>
    <col min="11" max="11" width="4.7109375" style="534" customWidth="1"/>
    <col min="12" max="12" width="15.42578125" style="534" customWidth="1"/>
    <col min="13" max="16384" width="11.42578125" style="534"/>
  </cols>
  <sheetData>
    <row r="1" spans="1:15" ht="14.25" thickBot="1">
      <c r="A1" s="1416" t="s">
        <v>574</v>
      </c>
      <c r="B1" s="1416"/>
      <c r="C1" s="1416"/>
      <c r="D1" s="1416"/>
      <c r="E1" s="1416"/>
      <c r="F1" s="1416"/>
      <c r="G1" s="1416"/>
      <c r="H1" s="1416"/>
      <c r="I1" s="1416"/>
      <c r="J1" s="1416"/>
    </row>
    <row r="2" spans="1:15" ht="14.25" thickTop="1">
      <c r="A2" s="1417" t="s">
        <v>481</v>
      </c>
      <c r="B2" s="1420" t="s">
        <v>40</v>
      </c>
      <c r="C2" s="1420"/>
      <c r="D2" s="1420"/>
      <c r="E2" s="1420" t="s">
        <v>41</v>
      </c>
      <c r="F2" s="1420"/>
      <c r="G2" s="1420"/>
      <c r="H2" s="1420" t="s">
        <v>42</v>
      </c>
      <c r="I2" s="1420"/>
      <c r="J2" s="1421"/>
    </row>
    <row r="3" spans="1:15">
      <c r="A3" s="1418"/>
      <c r="B3" s="1422" t="s">
        <v>482</v>
      </c>
      <c r="C3" s="1422"/>
      <c r="D3" s="1422"/>
      <c r="E3" s="1422" t="s">
        <v>482</v>
      </c>
      <c r="F3" s="1422"/>
      <c r="G3" s="1422"/>
      <c r="H3" s="1422" t="s">
        <v>482</v>
      </c>
      <c r="I3" s="1422"/>
      <c r="J3" s="1423"/>
    </row>
    <row r="4" spans="1:15" ht="23.25" thickBot="1">
      <c r="A4" s="1419"/>
      <c r="B4" s="642">
        <v>2006</v>
      </c>
      <c r="C4" s="642">
        <v>2007</v>
      </c>
      <c r="D4" s="643" t="s">
        <v>483</v>
      </c>
      <c r="E4" s="644">
        <v>2006</v>
      </c>
      <c r="F4" s="644">
        <v>2007</v>
      </c>
      <c r="G4" s="643" t="s">
        <v>483</v>
      </c>
      <c r="H4" s="644">
        <v>2006</v>
      </c>
      <c r="I4" s="644">
        <v>2007</v>
      </c>
      <c r="J4" s="645" t="s">
        <v>483</v>
      </c>
      <c r="L4"/>
      <c r="M4" s="902" t="s">
        <v>575</v>
      </c>
      <c r="N4" s="903" t="s">
        <v>576</v>
      </c>
      <c r="O4" s="904" t="s">
        <v>577</v>
      </c>
    </row>
    <row r="5" spans="1:15" ht="14.25" thickTop="1">
      <c r="A5" s="646" t="str">
        <f>+'[7]Grafica 09'!A2</f>
        <v>Campeche</v>
      </c>
      <c r="B5" s="647"/>
      <c r="C5" s="647"/>
      <c r="D5" s="901"/>
      <c r="E5" s="647"/>
      <c r="F5" s="647"/>
      <c r="G5" s="901"/>
      <c r="H5" s="647"/>
      <c r="I5" s="647"/>
      <c r="J5" s="901"/>
      <c r="L5" s="905" t="s">
        <v>9</v>
      </c>
      <c r="M5" s="906">
        <v>1.6</v>
      </c>
      <c r="N5" s="906">
        <v>2.4</v>
      </c>
      <c r="O5" s="906">
        <v>2.4</v>
      </c>
    </row>
    <row r="6" spans="1:15">
      <c r="A6" s="646" t="str">
        <f>+'[7]Grafica 09'!A3</f>
        <v>Oaxaca</v>
      </c>
      <c r="B6" s="647"/>
      <c r="C6" s="647"/>
      <c r="D6" s="901"/>
      <c r="E6" s="647"/>
      <c r="F6" s="647"/>
      <c r="G6" s="901"/>
      <c r="H6" s="647"/>
      <c r="I6" s="647"/>
      <c r="J6" s="901"/>
      <c r="L6" s="905" t="s">
        <v>25</v>
      </c>
      <c r="M6" s="906">
        <v>2.74</v>
      </c>
      <c r="N6" s="906">
        <v>6.25</v>
      </c>
      <c r="O6" s="906">
        <v>11.4</v>
      </c>
    </row>
    <row r="7" spans="1:15">
      <c r="A7" s="646" t="str">
        <f>+'[7]Grafica 09'!A4</f>
        <v>Tula de Allende</v>
      </c>
      <c r="B7" s="647"/>
      <c r="C7" s="647"/>
      <c r="D7" s="901"/>
      <c r="E7" s="647"/>
      <c r="F7" s="647"/>
      <c r="G7" s="901"/>
      <c r="H7" s="647"/>
      <c r="I7" s="647"/>
      <c r="J7" s="901"/>
      <c r="L7" s="905" t="s">
        <v>237</v>
      </c>
      <c r="M7" s="906">
        <v>3.7666666666666666</v>
      </c>
      <c r="N7" s="906">
        <v>6.416666666666667</v>
      </c>
      <c r="O7" s="906">
        <v>14.17</v>
      </c>
    </row>
    <row r="8" spans="1:15">
      <c r="A8" s="646" t="str">
        <f>+'[7]Grafica 09'!A5</f>
        <v>Juárez</v>
      </c>
      <c r="B8" s="647"/>
      <c r="C8" s="647"/>
      <c r="D8" s="901"/>
      <c r="E8" s="647"/>
      <c r="F8" s="647"/>
      <c r="G8" s="901"/>
      <c r="H8" s="647"/>
      <c r="I8" s="647"/>
      <c r="J8" s="901"/>
      <c r="L8" s="905" t="s">
        <v>137</v>
      </c>
      <c r="M8" s="906">
        <v>3.79</v>
      </c>
      <c r="N8" s="906">
        <v>3.6</v>
      </c>
      <c r="O8" s="906">
        <v>3.91</v>
      </c>
    </row>
    <row r="9" spans="1:15">
      <c r="A9" s="646" t="str">
        <f>+'[7]Grafica 09'!A6</f>
        <v>Colima</v>
      </c>
      <c r="B9" s="647"/>
      <c r="C9" s="647"/>
      <c r="D9" s="901"/>
      <c r="E9" s="647"/>
      <c r="F9" s="647"/>
      <c r="G9" s="901"/>
      <c r="H9" s="647"/>
      <c r="I9" s="647"/>
      <c r="J9" s="901"/>
      <c r="L9" s="905" t="s">
        <v>11</v>
      </c>
      <c r="M9" s="906">
        <v>3.8</v>
      </c>
      <c r="N9" s="906">
        <v>5.0720170333333332</v>
      </c>
      <c r="O9" s="906">
        <v>5.0720170333333332</v>
      </c>
    </row>
    <row r="10" spans="1:15">
      <c r="A10" s="646" t="str">
        <f>+'[7]Grafica 09'!A7</f>
        <v>Mérida</v>
      </c>
      <c r="B10" s="647"/>
      <c r="C10" s="647"/>
      <c r="D10" s="901"/>
      <c r="E10" s="647"/>
      <c r="F10" s="647"/>
      <c r="G10" s="901"/>
      <c r="H10" s="647"/>
      <c r="I10" s="647"/>
      <c r="J10" s="901"/>
      <c r="L10" s="905" t="s">
        <v>86</v>
      </c>
      <c r="M10" s="906">
        <v>3.9</v>
      </c>
      <c r="N10" s="906">
        <v>5.666666666666667</v>
      </c>
      <c r="O10" s="906">
        <v>5.666666666666667</v>
      </c>
    </row>
    <row r="11" spans="1:15">
      <c r="A11" s="646" t="str">
        <f>+'[7]Grafica 09'!A8</f>
        <v>Culiacán</v>
      </c>
      <c r="B11" s="647"/>
      <c r="C11" s="647"/>
      <c r="D11" s="901"/>
      <c r="E11" s="647"/>
      <c r="F11" s="647"/>
      <c r="G11" s="901"/>
      <c r="H11" s="647"/>
      <c r="I11" s="647"/>
      <c r="J11" s="901"/>
      <c r="L11" s="905" t="s">
        <v>468</v>
      </c>
      <c r="M11" s="906">
        <v>3.9583333333333339</v>
      </c>
      <c r="N11" s="906">
        <v>7.0159999999999991</v>
      </c>
      <c r="O11" s="906">
        <v>8.761333333333333</v>
      </c>
    </row>
    <row r="12" spans="1:15">
      <c r="A12" s="646" t="str">
        <f>+'[7]Grafica 09'!A9</f>
        <v>Mexicali</v>
      </c>
      <c r="B12" s="647"/>
      <c r="C12" s="647"/>
      <c r="D12" s="901"/>
      <c r="E12" s="647"/>
      <c r="F12" s="647"/>
      <c r="G12" s="901"/>
      <c r="H12" s="647"/>
      <c r="I12" s="647"/>
      <c r="J12" s="901"/>
      <c r="L12" s="905" t="s">
        <v>81</v>
      </c>
      <c r="M12" s="906">
        <v>4.0269999999999992</v>
      </c>
      <c r="N12" s="906">
        <v>25.977333333333334</v>
      </c>
      <c r="O12" s="906">
        <v>25.977333333333334</v>
      </c>
    </row>
    <row r="13" spans="1:15">
      <c r="A13" s="646" t="str">
        <f>+'[7]Grafica 09'!A10</f>
        <v>Hermosillo</v>
      </c>
      <c r="B13" s="647"/>
      <c r="C13" s="647"/>
      <c r="D13" s="901"/>
      <c r="E13" s="647"/>
      <c r="F13" s="647"/>
      <c r="G13" s="901"/>
      <c r="H13" s="647"/>
      <c r="I13" s="647"/>
      <c r="J13" s="901"/>
      <c r="L13" s="905" t="s">
        <v>469</v>
      </c>
      <c r="M13" s="906">
        <v>4.0560000000000009</v>
      </c>
      <c r="N13" s="906">
        <v>17.544999999999998</v>
      </c>
      <c r="O13" s="906">
        <v>17.544999999999998</v>
      </c>
    </row>
    <row r="14" spans="1:15">
      <c r="A14" s="646" t="str">
        <f>+'[7]Grafica 09'!A11</f>
        <v>Tlaxcala</v>
      </c>
      <c r="B14" s="647"/>
      <c r="C14" s="647"/>
      <c r="D14" s="901"/>
      <c r="E14" s="647"/>
      <c r="F14" s="647"/>
      <c r="G14" s="901"/>
      <c r="H14" s="647"/>
      <c r="I14" s="647"/>
      <c r="J14" s="901"/>
      <c r="L14" s="905" t="s">
        <v>32</v>
      </c>
      <c r="M14" s="906">
        <v>4.2945333333333338</v>
      </c>
      <c r="N14" s="906">
        <v>20.736708333333336</v>
      </c>
      <c r="O14" s="906">
        <v>20.736708333333336</v>
      </c>
    </row>
    <row r="15" spans="1:15">
      <c r="A15" s="646" t="str">
        <f>+'[7]Grafica 09'!A12</f>
        <v>San Juan del Río</v>
      </c>
      <c r="B15" s="647"/>
      <c r="C15" s="647"/>
      <c r="D15" s="901"/>
      <c r="E15" s="647"/>
      <c r="F15" s="647"/>
      <c r="G15" s="901"/>
      <c r="H15" s="647"/>
      <c r="I15" s="647"/>
      <c r="J15" s="901"/>
      <c r="L15" s="905" t="s">
        <v>470</v>
      </c>
      <c r="M15" s="906">
        <v>5.0943901666666669</v>
      </c>
      <c r="N15" s="906">
        <v>10.639360000000002</v>
      </c>
      <c r="O15" s="906">
        <v>17.316666666666666</v>
      </c>
    </row>
    <row r="16" spans="1:15">
      <c r="A16" s="646" t="str">
        <f>+'[7]Grafica 09'!A13</f>
        <v>Delicias</v>
      </c>
      <c r="B16" s="647"/>
      <c r="C16" s="647"/>
      <c r="D16" s="901"/>
      <c r="E16" s="647"/>
      <c r="F16" s="647"/>
      <c r="G16" s="901"/>
      <c r="H16" s="647"/>
      <c r="I16" s="647"/>
      <c r="J16" s="901"/>
      <c r="L16" s="905" t="s">
        <v>235</v>
      </c>
      <c r="M16" s="906">
        <v>5.13</v>
      </c>
      <c r="N16" s="906">
        <v>6.98</v>
      </c>
      <c r="O16" s="906">
        <v>8.3000000000000007</v>
      </c>
    </row>
    <row r="17" spans="1:15">
      <c r="A17" s="646" t="str">
        <f>+'[7]Grafica 09'!A14</f>
        <v>Distrito Federal</v>
      </c>
      <c r="B17" s="647"/>
      <c r="C17" s="647"/>
      <c r="D17" s="901"/>
      <c r="E17" s="647"/>
      <c r="F17" s="647"/>
      <c r="G17" s="901"/>
      <c r="H17" s="647"/>
      <c r="I17" s="647"/>
      <c r="J17" s="901"/>
      <c r="L17" s="905" t="s">
        <v>14</v>
      </c>
      <c r="M17" s="906">
        <v>5.2553333333333336</v>
      </c>
      <c r="N17" s="906">
        <v>20.163333333333334</v>
      </c>
      <c r="O17" s="906">
        <v>20.164166666666667</v>
      </c>
    </row>
    <row r="18" spans="1:15">
      <c r="A18" s="646" t="str">
        <f>+'[7]Grafica 09'!A15</f>
        <v>Guadalajara</v>
      </c>
      <c r="B18" s="647"/>
      <c r="C18" s="647"/>
      <c r="D18" s="901"/>
      <c r="E18" s="647"/>
      <c r="F18" s="647"/>
      <c r="G18" s="901"/>
      <c r="H18" s="647"/>
      <c r="I18" s="647"/>
      <c r="J18" s="901"/>
      <c r="L18" s="905" t="s">
        <v>126</v>
      </c>
      <c r="M18" s="906">
        <v>5.5583333333333336</v>
      </c>
      <c r="N18" s="906">
        <v>11.658666666666667</v>
      </c>
      <c r="O18" s="906">
        <v>11.658666666666667</v>
      </c>
    </row>
    <row r="19" spans="1:15">
      <c r="A19" s="646" t="str">
        <f>+'[7]Grafica 09'!A16</f>
        <v>Cancún</v>
      </c>
      <c r="B19" s="647"/>
      <c r="C19" s="647"/>
      <c r="D19" s="901"/>
      <c r="E19" s="647"/>
      <c r="F19" s="647"/>
      <c r="G19" s="901"/>
      <c r="H19" s="647"/>
      <c r="I19" s="647"/>
      <c r="J19" s="901"/>
      <c r="L19" s="907" t="s">
        <v>145</v>
      </c>
      <c r="M19" s="908">
        <v>5.7853333333333339</v>
      </c>
      <c r="N19" s="908">
        <v>12.84</v>
      </c>
      <c r="O19" s="908">
        <v>6.7669999999999995</v>
      </c>
    </row>
    <row r="20" spans="1:15">
      <c r="A20" s="646" t="str">
        <f>+'[7]Grafica 09'!A17</f>
        <v>Chetumal</v>
      </c>
      <c r="B20" s="647"/>
      <c r="C20" s="647"/>
      <c r="D20" s="901"/>
      <c r="E20" s="647"/>
      <c r="F20" s="647"/>
      <c r="G20" s="901"/>
      <c r="H20" s="647"/>
      <c r="I20" s="647"/>
      <c r="J20" s="901"/>
      <c r="L20" s="907" t="s">
        <v>125</v>
      </c>
      <c r="M20" s="908">
        <v>5.7853333333333339</v>
      </c>
      <c r="N20" s="908">
        <v>12.84</v>
      </c>
      <c r="O20" s="908">
        <v>6.7669999999999995</v>
      </c>
    </row>
    <row r="21" spans="1:15">
      <c r="A21" s="646" t="str">
        <f>+'[7]Grafica 09'!A18</f>
        <v>Gómez Palacio</v>
      </c>
      <c r="B21" s="647"/>
      <c r="C21" s="647"/>
      <c r="D21" s="901"/>
      <c r="E21" s="647"/>
      <c r="F21" s="647"/>
      <c r="G21" s="901"/>
      <c r="H21" s="647"/>
      <c r="I21" s="647"/>
      <c r="J21" s="901"/>
      <c r="L21" s="905" t="s">
        <v>471</v>
      </c>
      <c r="M21" s="906">
        <v>6.4750480000000001</v>
      </c>
      <c r="N21" s="906">
        <v>17.37</v>
      </c>
      <c r="O21" s="906">
        <v>22.36</v>
      </c>
    </row>
    <row r="22" spans="1:15">
      <c r="A22" s="646" t="str">
        <f>+'[7]Grafica 09'!A19</f>
        <v>La Paz</v>
      </c>
      <c r="B22" s="647"/>
      <c r="C22" s="647"/>
      <c r="D22" s="901"/>
      <c r="E22" s="647"/>
      <c r="F22" s="647"/>
      <c r="G22" s="901"/>
      <c r="H22" s="647"/>
      <c r="I22" s="647"/>
      <c r="J22" s="901"/>
      <c r="L22" s="905" t="s">
        <v>127</v>
      </c>
      <c r="M22" s="906">
        <v>6.6</v>
      </c>
      <c r="N22" s="906">
        <v>13.56</v>
      </c>
      <c r="O22" s="906">
        <v>16.18</v>
      </c>
    </row>
    <row r="23" spans="1:15">
      <c r="A23" s="646" t="str">
        <f>+'[7]Grafica 09'!A20</f>
        <v>Torreón</v>
      </c>
      <c r="B23" s="647"/>
      <c r="C23" s="647"/>
      <c r="D23" s="901"/>
      <c r="E23" s="647"/>
      <c r="F23" s="647"/>
      <c r="G23" s="901"/>
      <c r="H23" s="647"/>
      <c r="I23" s="647"/>
      <c r="J23" s="901"/>
      <c r="L23" s="905" t="s">
        <v>472</v>
      </c>
      <c r="M23" s="906">
        <v>6.65</v>
      </c>
      <c r="N23" s="906">
        <v>13.22</v>
      </c>
      <c r="O23" s="906">
        <v>13.31</v>
      </c>
    </row>
    <row r="24" spans="1:15">
      <c r="A24" s="646" t="str">
        <f>+'[7]Grafica 09'!A21</f>
        <v>San Luis Potosí</v>
      </c>
      <c r="B24" s="647"/>
      <c r="C24" s="647"/>
      <c r="D24" s="901"/>
      <c r="E24" s="647"/>
      <c r="F24" s="647"/>
      <c r="G24" s="901"/>
      <c r="H24" s="647"/>
      <c r="I24" s="647"/>
      <c r="J24" s="901"/>
      <c r="L24" s="905" t="s">
        <v>28</v>
      </c>
      <c r="M24" s="906">
        <v>6.95</v>
      </c>
      <c r="N24" s="906">
        <v>11.07</v>
      </c>
      <c r="O24" s="906">
        <v>15.45</v>
      </c>
    </row>
    <row r="25" spans="1:15">
      <c r="A25" s="646" t="str">
        <f>+'[7]Grafica 09'!A22</f>
        <v>Monterrey</v>
      </c>
      <c r="B25" s="647"/>
      <c r="C25" s="647"/>
      <c r="D25" s="901"/>
      <c r="E25" s="647"/>
      <c r="F25" s="647"/>
      <c r="G25" s="901"/>
      <c r="H25" s="647"/>
      <c r="I25" s="647"/>
      <c r="J25" s="901"/>
      <c r="L25" s="905" t="s">
        <v>473</v>
      </c>
      <c r="M25" s="906">
        <v>7.6210000000000004</v>
      </c>
      <c r="N25" s="906">
        <v>11.221133333333334</v>
      </c>
      <c r="O25" s="906">
        <v>11.221133333333334</v>
      </c>
    </row>
    <row r="26" spans="1:15">
      <c r="A26" s="646" t="str">
        <f>+'[7]Grafica 09'!A23</f>
        <v>Xalapa</v>
      </c>
      <c r="B26" s="647"/>
      <c r="C26" s="647"/>
      <c r="D26" s="901"/>
      <c r="E26" s="647"/>
      <c r="F26" s="647"/>
      <c r="G26" s="901"/>
      <c r="H26" s="647"/>
      <c r="I26" s="647"/>
      <c r="J26" s="901"/>
      <c r="L26" s="905" t="s">
        <v>85</v>
      </c>
      <c r="M26" s="906">
        <v>7.75</v>
      </c>
      <c r="N26" s="906">
        <v>8.7799999999999994</v>
      </c>
      <c r="O26" s="906">
        <v>9.8800000000000008</v>
      </c>
    </row>
    <row r="27" spans="1:15">
      <c r="A27" s="646" t="str">
        <f>+'[7]Grafica 09'!A24</f>
        <v>Toluca</v>
      </c>
      <c r="B27" s="647"/>
      <c r="C27" s="647"/>
      <c r="D27" s="901"/>
      <c r="E27" s="647"/>
      <c r="F27" s="647"/>
      <c r="G27" s="901"/>
      <c r="H27" s="647"/>
      <c r="I27" s="647"/>
      <c r="J27" s="901"/>
      <c r="L27" s="905" t="s">
        <v>142</v>
      </c>
      <c r="M27" s="906">
        <v>8.0107765833333335</v>
      </c>
      <c r="N27" s="906">
        <v>15.711062735833334</v>
      </c>
      <c r="O27" s="906">
        <v>15.713836000000002</v>
      </c>
    </row>
    <row r="28" spans="1:15">
      <c r="A28" s="646" t="str">
        <f>+'[7]Grafica 09'!A25</f>
        <v>Acapulco</v>
      </c>
      <c r="B28" s="647"/>
      <c r="C28" s="647"/>
      <c r="D28" s="901"/>
      <c r="E28" s="647"/>
      <c r="F28" s="647"/>
      <c r="G28" s="901"/>
      <c r="H28" s="647"/>
      <c r="I28" s="647"/>
      <c r="J28" s="901"/>
      <c r="L28" s="905" t="s">
        <v>140</v>
      </c>
      <c r="M28" s="906">
        <v>8.6479999999999997</v>
      </c>
      <c r="N28" s="906">
        <v>23.318666666666665</v>
      </c>
      <c r="O28" s="906">
        <v>23.318666666666665</v>
      </c>
    </row>
    <row r="29" spans="1:15">
      <c r="A29" s="646" t="str">
        <f>+'[7]Grafica 09'!A26</f>
        <v>Puebla</v>
      </c>
      <c r="B29" s="647"/>
      <c r="C29" s="647"/>
      <c r="D29" s="901"/>
      <c r="E29" s="647"/>
      <c r="F29" s="647"/>
      <c r="G29" s="901"/>
      <c r="H29" s="647"/>
      <c r="I29" s="647"/>
      <c r="J29" s="901"/>
      <c r="L29" s="907" t="s">
        <v>36</v>
      </c>
      <c r="M29" s="908">
        <v>9.1999999999999993</v>
      </c>
      <c r="N29" s="908">
        <v>11.32</v>
      </c>
      <c r="O29" s="908">
        <v>11.32</v>
      </c>
    </row>
    <row r="30" spans="1:15">
      <c r="A30" s="646" t="str">
        <f>+'[7]Grafica 09'!A27</f>
        <v>Naucalpan</v>
      </c>
      <c r="B30" s="647"/>
      <c r="C30" s="647"/>
      <c r="D30" s="901"/>
      <c r="E30" s="647"/>
      <c r="F30" s="647"/>
      <c r="G30" s="901"/>
      <c r="H30" s="647"/>
      <c r="I30" s="647"/>
      <c r="J30" s="901"/>
      <c r="L30" s="905" t="s">
        <v>236</v>
      </c>
      <c r="M30" s="906">
        <v>11.094990666666666</v>
      </c>
      <c r="N30" s="906">
        <v>18.722967999999998</v>
      </c>
      <c r="O30" s="906">
        <v>19.16346866666667</v>
      </c>
    </row>
    <row r="31" spans="1:15">
      <c r="A31" s="646" t="str">
        <f>+'[7]Grafica 09'!A28</f>
        <v>León</v>
      </c>
      <c r="B31" s="647"/>
      <c r="C31" s="647"/>
      <c r="D31" s="901"/>
      <c r="E31" s="647"/>
      <c r="F31" s="647"/>
      <c r="G31" s="901"/>
      <c r="H31" s="647"/>
      <c r="I31" s="647"/>
      <c r="J31" s="901"/>
      <c r="L31" s="905" t="s">
        <v>139</v>
      </c>
      <c r="M31" s="906">
        <v>11.7</v>
      </c>
      <c r="N31" s="906">
        <v>24.173333333333332</v>
      </c>
      <c r="O31" s="906">
        <v>24.173333333333332</v>
      </c>
    </row>
    <row r="32" spans="1:15">
      <c r="A32" s="646" t="str">
        <f>+'[7]Grafica 09'!A29</f>
        <v>Atizapán</v>
      </c>
      <c r="B32" s="647"/>
      <c r="C32" s="647"/>
      <c r="D32" s="901"/>
      <c r="E32" s="647"/>
      <c r="F32" s="647"/>
      <c r="G32" s="901"/>
      <c r="H32" s="647"/>
      <c r="I32" s="647"/>
      <c r="J32" s="901"/>
      <c r="L32" s="905" t="s">
        <v>474</v>
      </c>
      <c r="M32" s="906">
        <v>11.901127893333332</v>
      </c>
      <c r="N32" s="906">
        <v>24.287177333333329</v>
      </c>
      <c r="O32" s="906">
        <v>24.287177333333329</v>
      </c>
    </row>
    <row r="33" spans="1:15">
      <c r="A33" s="646" t="str">
        <f>+'[7]Grafica 09'!A30</f>
        <v>Ensenada</v>
      </c>
      <c r="B33" s="647"/>
      <c r="C33" s="647"/>
      <c r="D33" s="901"/>
      <c r="E33" s="647"/>
      <c r="F33" s="647"/>
      <c r="G33" s="901"/>
      <c r="H33" s="647"/>
      <c r="I33" s="647"/>
      <c r="J33" s="901"/>
      <c r="L33" s="905" t="s">
        <v>234</v>
      </c>
      <c r="M33" s="906">
        <v>12.072666666666668</v>
      </c>
      <c r="N33" s="906">
        <v>38.144333333333336</v>
      </c>
      <c r="O33" s="906">
        <v>38.144333333333336</v>
      </c>
    </row>
    <row r="34" spans="1:15">
      <c r="A34" s="646" t="str">
        <f>+'[7]Grafica 09'!A31</f>
        <v>Tijuana</v>
      </c>
      <c r="B34" s="647"/>
      <c r="C34" s="647"/>
      <c r="D34" s="901"/>
      <c r="E34" s="647"/>
      <c r="F34" s="647"/>
      <c r="G34" s="901"/>
      <c r="H34" s="647"/>
      <c r="I34" s="647"/>
      <c r="J34" s="901"/>
      <c r="L34" s="905" t="s">
        <v>87</v>
      </c>
      <c r="M34" s="906">
        <v>14.937666666666667</v>
      </c>
      <c r="N34" s="906">
        <v>37.363999999999997</v>
      </c>
      <c r="O34" s="906">
        <v>37.363999999999997</v>
      </c>
    </row>
    <row r="35" spans="1:15">
      <c r="A35" s="646" t="str">
        <f>+'[7]Grafica 09'!A32</f>
        <v>Morelia</v>
      </c>
      <c r="B35" s="647"/>
      <c r="C35" s="647"/>
      <c r="D35" s="901"/>
      <c r="E35" s="647"/>
      <c r="F35" s="647"/>
      <c r="G35" s="901"/>
      <c r="H35" s="647"/>
      <c r="I35" s="647"/>
      <c r="J35" s="901"/>
      <c r="L35" s="905" t="s">
        <v>110</v>
      </c>
      <c r="M35" s="906">
        <v>15.24</v>
      </c>
      <c r="N35" s="906">
        <v>19.410999999999998</v>
      </c>
      <c r="O35" s="906">
        <v>24.973333333333336</v>
      </c>
    </row>
    <row r="36" spans="1:15">
      <c r="A36" s="646" t="str">
        <f>+'[7]Grafica 09'!A33</f>
        <v>Aguascalientes</v>
      </c>
      <c r="B36" s="647"/>
      <c r="C36" s="647"/>
      <c r="D36" s="901"/>
      <c r="E36" s="647"/>
      <c r="F36" s="647"/>
      <c r="G36" s="901"/>
      <c r="H36" s="647"/>
      <c r="I36" s="647"/>
      <c r="J36" s="901"/>
      <c r="L36" s="905" t="s">
        <v>6</v>
      </c>
      <c r="M36" s="906">
        <v>15.355333333333332</v>
      </c>
      <c r="N36" s="906">
        <v>22.886666666666663</v>
      </c>
      <c r="O36" s="906">
        <v>29.421333333333337</v>
      </c>
    </row>
    <row r="37" spans="1:15">
      <c r="A37" s="646"/>
      <c r="B37" s="647"/>
      <c r="C37" s="647"/>
      <c r="D37" s="901"/>
      <c r="E37" s="647"/>
      <c r="F37" s="647"/>
      <c r="G37" s="901"/>
      <c r="H37" s="647"/>
      <c r="I37" s="647"/>
      <c r="J37" s="901"/>
      <c r="L37" s="651"/>
    </row>
    <row r="38" spans="1:15">
      <c r="A38" s="646"/>
      <c r="B38" s="647"/>
      <c r="C38" s="647"/>
      <c r="D38" s="901"/>
      <c r="E38" s="647"/>
      <c r="F38" s="647"/>
      <c r="G38" s="901"/>
      <c r="H38" s="647"/>
      <c r="I38" s="647"/>
      <c r="J38" s="901"/>
    </row>
    <row r="39" spans="1:15">
      <c r="A39" s="652"/>
      <c r="F39" s="650"/>
      <c r="G39" s="652"/>
      <c r="J39" s="652"/>
      <c r="K39" s="652"/>
      <c r="L39" s="652"/>
      <c r="M39" s="652"/>
      <c r="N39" s="652"/>
    </row>
    <row r="40" spans="1:15">
      <c r="D40" s="652"/>
    </row>
    <row r="41" spans="1:15">
      <c r="H41" s="650"/>
    </row>
    <row r="42" spans="1:15">
      <c r="A42" s="652"/>
      <c r="G42" s="652"/>
      <c r="L42" s="652"/>
    </row>
    <row r="43" spans="1:15">
      <c r="H43" s="650"/>
    </row>
    <row r="45" spans="1:15">
      <c r="A45" s="652"/>
    </row>
    <row r="49" spans="1:15">
      <c r="D49" s="651"/>
      <c r="H49" s="650"/>
      <c r="J49" s="651"/>
    </row>
    <row r="50" spans="1:15">
      <c r="H50" s="650"/>
      <c r="J50" s="651"/>
    </row>
    <row r="51" spans="1:15">
      <c r="A51" s="652"/>
      <c r="D51" s="652"/>
      <c r="J51" s="652"/>
      <c r="K51" s="652"/>
      <c r="M51" s="652"/>
      <c r="O51" s="652"/>
    </row>
    <row r="52" spans="1:15">
      <c r="H52" s="650"/>
    </row>
    <row r="53" spans="1:15">
      <c r="H53" s="650"/>
    </row>
    <row r="54" spans="1:15">
      <c r="D54" s="652"/>
      <c r="H54" s="650"/>
    </row>
    <row r="55" spans="1:15">
      <c r="H55" s="650"/>
    </row>
    <row r="57" spans="1:15">
      <c r="D57" s="652"/>
    </row>
    <row r="58" spans="1:15">
      <c r="A58" s="651"/>
    </row>
    <row r="59" spans="1:15">
      <c r="B59" s="653"/>
      <c r="C59" s="653"/>
      <c r="H59" s="650"/>
      <c r="J59" s="651"/>
      <c r="L59" s="651"/>
    </row>
    <row r="60" spans="1:15">
      <c r="J60" s="654"/>
    </row>
    <row r="62" spans="1:15">
      <c r="B62" s="653"/>
      <c r="C62" s="653"/>
    </row>
    <row r="63" spans="1:15">
      <c r="H63" s="650"/>
    </row>
    <row r="64" spans="1:15">
      <c r="H64" s="650"/>
    </row>
    <row r="65" spans="1:11">
      <c r="A65" s="651"/>
    </row>
    <row r="66" spans="1:11">
      <c r="A66" s="651"/>
      <c r="C66" s="653"/>
      <c r="D66" s="651"/>
    </row>
    <row r="67" spans="1:11">
      <c r="A67" s="652"/>
      <c r="D67" s="652"/>
      <c r="H67" s="650"/>
    </row>
    <row r="69" spans="1:11">
      <c r="A69" s="651"/>
      <c r="J69" s="652"/>
      <c r="K69" s="652"/>
    </row>
    <row r="70" spans="1:11">
      <c r="B70" s="653"/>
      <c r="D70" s="651"/>
    </row>
    <row r="71" spans="1:11">
      <c r="A71" s="652"/>
      <c r="D71" s="652"/>
    </row>
    <row r="73" spans="1:11">
      <c r="A73" s="651"/>
    </row>
    <row r="74" spans="1:11">
      <c r="A74" s="651"/>
      <c r="D74" s="651"/>
      <c r="E74" s="650"/>
    </row>
    <row r="75" spans="1:11">
      <c r="A75" s="652"/>
      <c r="D75" s="652"/>
    </row>
    <row r="77" spans="1:11">
      <c r="A77" s="651"/>
    </row>
    <row r="78" spans="1:11">
      <c r="A78" s="651"/>
    </row>
    <row r="79" spans="1:11">
      <c r="A79" s="652"/>
      <c r="D79" s="652"/>
    </row>
  </sheetData>
  <mergeCells count="8">
    <mergeCell ref="A1:J1"/>
    <mergeCell ref="A2:A4"/>
    <mergeCell ref="B2:D2"/>
    <mergeCell ref="E2:G2"/>
    <mergeCell ref="H2:J2"/>
    <mergeCell ref="B3:D3"/>
    <mergeCell ref="E3:G3"/>
    <mergeCell ref="H3:J3"/>
  </mergeCells>
  <pageMargins left="0.75" right="0.75" top="1" bottom="0.41" header="0" footer="0"/>
  <pageSetup paperSize="9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1" tint="4.9989318521683403E-2"/>
  </sheetPr>
  <dimension ref="A2:O78"/>
  <sheetViews>
    <sheetView workbookViewId="0">
      <pane xSplit="6255" ySplit="2610" topLeftCell="D1" activePane="bottomRight"/>
      <selection activeCell="C4" sqref="C4"/>
      <selection pane="topRight" activeCell="D4" sqref="D4"/>
      <selection pane="bottomLeft" activeCell="C5" sqref="C5"/>
      <selection pane="bottomRight" activeCell="J5" sqref="J5"/>
    </sheetView>
  </sheetViews>
  <sheetFormatPr baseColWidth="10" defaultRowHeight="12.75"/>
  <cols>
    <col min="1" max="1" width="21.140625" style="535" customWidth="1"/>
    <col min="2" max="2" width="11.85546875" style="535" customWidth="1"/>
    <col min="3" max="4" width="11.42578125" style="535"/>
    <col min="5" max="5" width="14.42578125" style="535" customWidth="1"/>
    <col min="6" max="6" width="13" style="535" customWidth="1"/>
    <col min="7" max="7" width="14.85546875" style="535" customWidth="1"/>
    <col min="8" max="256" width="11.42578125" style="535"/>
    <col min="257" max="257" width="21.140625" style="535" customWidth="1"/>
    <col min="258" max="258" width="11.85546875" style="535" customWidth="1"/>
    <col min="259" max="260" width="11.42578125" style="535"/>
    <col min="261" max="261" width="14.42578125" style="535" customWidth="1"/>
    <col min="262" max="262" width="13" style="535" customWidth="1"/>
    <col min="263" max="263" width="14.85546875" style="535" customWidth="1"/>
    <col min="264" max="512" width="11.42578125" style="535"/>
    <col min="513" max="513" width="21.140625" style="535" customWidth="1"/>
    <col min="514" max="514" width="11.85546875" style="535" customWidth="1"/>
    <col min="515" max="516" width="11.42578125" style="535"/>
    <col min="517" max="517" width="14.42578125" style="535" customWidth="1"/>
    <col min="518" max="518" width="13" style="535" customWidth="1"/>
    <col min="519" max="519" width="14.85546875" style="535" customWidth="1"/>
    <col min="520" max="768" width="11.42578125" style="535"/>
    <col min="769" max="769" width="21.140625" style="535" customWidth="1"/>
    <col min="770" max="770" width="11.85546875" style="535" customWidth="1"/>
    <col min="771" max="772" width="11.42578125" style="535"/>
    <col min="773" max="773" width="14.42578125" style="535" customWidth="1"/>
    <col min="774" max="774" width="13" style="535" customWidth="1"/>
    <col min="775" max="775" width="14.85546875" style="535" customWidth="1"/>
    <col min="776" max="1024" width="11.42578125" style="535"/>
    <col min="1025" max="1025" width="21.140625" style="535" customWidth="1"/>
    <col min="1026" max="1026" width="11.85546875" style="535" customWidth="1"/>
    <col min="1027" max="1028" width="11.42578125" style="535"/>
    <col min="1029" max="1029" width="14.42578125" style="535" customWidth="1"/>
    <col min="1030" max="1030" width="13" style="535" customWidth="1"/>
    <col min="1031" max="1031" width="14.85546875" style="535" customWidth="1"/>
    <col min="1032" max="1280" width="11.42578125" style="535"/>
    <col min="1281" max="1281" width="21.140625" style="535" customWidth="1"/>
    <col min="1282" max="1282" width="11.85546875" style="535" customWidth="1"/>
    <col min="1283" max="1284" width="11.42578125" style="535"/>
    <col min="1285" max="1285" width="14.42578125" style="535" customWidth="1"/>
    <col min="1286" max="1286" width="13" style="535" customWidth="1"/>
    <col min="1287" max="1287" width="14.85546875" style="535" customWidth="1"/>
    <col min="1288" max="1536" width="11.42578125" style="535"/>
    <col min="1537" max="1537" width="21.140625" style="535" customWidth="1"/>
    <col min="1538" max="1538" width="11.85546875" style="535" customWidth="1"/>
    <col min="1539" max="1540" width="11.42578125" style="535"/>
    <col min="1541" max="1541" width="14.42578125" style="535" customWidth="1"/>
    <col min="1542" max="1542" width="13" style="535" customWidth="1"/>
    <col min="1543" max="1543" width="14.85546875" style="535" customWidth="1"/>
    <col min="1544" max="1792" width="11.42578125" style="535"/>
    <col min="1793" max="1793" width="21.140625" style="535" customWidth="1"/>
    <col min="1794" max="1794" width="11.85546875" style="535" customWidth="1"/>
    <col min="1795" max="1796" width="11.42578125" style="535"/>
    <col min="1797" max="1797" width="14.42578125" style="535" customWidth="1"/>
    <col min="1798" max="1798" width="13" style="535" customWidth="1"/>
    <col min="1799" max="1799" width="14.85546875" style="535" customWidth="1"/>
    <col min="1800" max="2048" width="11.42578125" style="535"/>
    <col min="2049" max="2049" width="21.140625" style="535" customWidth="1"/>
    <col min="2050" max="2050" width="11.85546875" style="535" customWidth="1"/>
    <col min="2051" max="2052" width="11.42578125" style="535"/>
    <col min="2053" max="2053" width="14.42578125" style="535" customWidth="1"/>
    <col min="2054" max="2054" width="13" style="535" customWidth="1"/>
    <col min="2055" max="2055" width="14.85546875" style="535" customWidth="1"/>
    <col min="2056" max="2304" width="11.42578125" style="535"/>
    <col min="2305" max="2305" width="21.140625" style="535" customWidth="1"/>
    <col min="2306" max="2306" width="11.85546875" style="535" customWidth="1"/>
    <col min="2307" max="2308" width="11.42578125" style="535"/>
    <col min="2309" max="2309" width="14.42578125" style="535" customWidth="1"/>
    <col min="2310" max="2310" width="13" style="535" customWidth="1"/>
    <col min="2311" max="2311" width="14.85546875" style="535" customWidth="1"/>
    <col min="2312" max="2560" width="11.42578125" style="535"/>
    <col min="2561" max="2561" width="21.140625" style="535" customWidth="1"/>
    <col min="2562" max="2562" width="11.85546875" style="535" customWidth="1"/>
    <col min="2563" max="2564" width="11.42578125" style="535"/>
    <col min="2565" max="2565" width="14.42578125" style="535" customWidth="1"/>
    <col min="2566" max="2566" width="13" style="535" customWidth="1"/>
    <col min="2567" max="2567" width="14.85546875" style="535" customWidth="1"/>
    <col min="2568" max="2816" width="11.42578125" style="535"/>
    <col min="2817" max="2817" width="21.140625" style="535" customWidth="1"/>
    <col min="2818" max="2818" width="11.85546875" style="535" customWidth="1"/>
    <col min="2819" max="2820" width="11.42578125" style="535"/>
    <col min="2821" max="2821" width="14.42578125" style="535" customWidth="1"/>
    <col min="2822" max="2822" width="13" style="535" customWidth="1"/>
    <col min="2823" max="2823" width="14.85546875" style="535" customWidth="1"/>
    <col min="2824" max="3072" width="11.42578125" style="535"/>
    <col min="3073" max="3073" width="21.140625" style="535" customWidth="1"/>
    <col min="3074" max="3074" width="11.85546875" style="535" customWidth="1"/>
    <col min="3075" max="3076" width="11.42578125" style="535"/>
    <col min="3077" max="3077" width="14.42578125" style="535" customWidth="1"/>
    <col min="3078" max="3078" width="13" style="535" customWidth="1"/>
    <col min="3079" max="3079" width="14.85546875" style="535" customWidth="1"/>
    <col min="3080" max="3328" width="11.42578125" style="535"/>
    <col min="3329" max="3329" width="21.140625" style="535" customWidth="1"/>
    <col min="3330" max="3330" width="11.85546875" style="535" customWidth="1"/>
    <col min="3331" max="3332" width="11.42578125" style="535"/>
    <col min="3333" max="3333" width="14.42578125" style="535" customWidth="1"/>
    <col min="3334" max="3334" width="13" style="535" customWidth="1"/>
    <col min="3335" max="3335" width="14.85546875" style="535" customWidth="1"/>
    <col min="3336" max="3584" width="11.42578125" style="535"/>
    <col min="3585" max="3585" width="21.140625" style="535" customWidth="1"/>
    <col min="3586" max="3586" width="11.85546875" style="535" customWidth="1"/>
    <col min="3587" max="3588" width="11.42578125" style="535"/>
    <col min="3589" max="3589" width="14.42578125" style="535" customWidth="1"/>
    <col min="3590" max="3590" width="13" style="535" customWidth="1"/>
    <col min="3591" max="3591" width="14.85546875" style="535" customWidth="1"/>
    <col min="3592" max="3840" width="11.42578125" style="535"/>
    <col min="3841" max="3841" width="21.140625" style="535" customWidth="1"/>
    <col min="3842" max="3842" width="11.85546875" style="535" customWidth="1"/>
    <col min="3843" max="3844" width="11.42578125" style="535"/>
    <col min="3845" max="3845" width="14.42578125" style="535" customWidth="1"/>
    <col min="3846" max="3846" width="13" style="535" customWidth="1"/>
    <col min="3847" max="3847" width="14.85546875" style="535" customWidth="1"/>
    <col min="3848" max="4096" width="11.42578125" style="535"/>
    <col min="4097" max="4097" width="21.140625" style="535" customWidth="1"/>
    <col min="4098" max="4098" width="11.85546875" style="535" customWidth="1"/>
    <col min="4099" max="4100" width="11.42578125" style="535"/>
    <col min="4101" max="4101" width="14.42578125" style="535" customWidth="1"/>
    <col min="4102" max="4102" width="13" style="535" customWidth="1"/>
    <col min="4103" max="4103" width="14.85546875" style="535" customWidth="1"/>
    <col min="4104" max="4352" width="11.42578125" style="535"/>
    <col min="4353" max="4353" width="21.140625" style="535" customWidth="1"/>
    <col min="4354" max="4354" width="11.85546875" style="535" customWidth="1"/>
    <col min="4355" max="4356" width="11.42578125" style="535"/>
    <col min="4357" max="4357" width="14.42578125" style="535" customWidth="1"/>
    <col min="4358" max="4358" width="13" style="535" customWidth="1"/>
    <col min="4359" max="4359" width="14.85546875" style="535" customWidth="1"/>
    <col min="4360" max="4608" width="11.42578125" style="535"/>
    <col min="4609" max="4609" width="21.140625" style="535" customWidth="1"/>
    <col min="4610" max="4610" width="11.85546875" style="535" customWidth="1"/>
    <col min="4611" max="4612" width="11.42578125" style="535"/>
    <col min="4613" max="4613" width="14.42578125" style="535" customWidth="1"/>
    <col min="4614" max="4614" width="13" style="535" customWidth="1"/>
    <col min="4615" max="4615" width="14.85546875" style="535" customWidth="1"/>
    <col min="4616" max="4864" width="11.42578125" style="535"/>
    <col min="4865" max="4865" width="21.140625" style="535" customWidth="1"/>
    <col min="4866" max="4866" width="11.85546875" style="535" customWidth="1"/>
    <col min="4867" max="4868" width="11.42578125" style="535"/>
    <col min="4869" max="4869" width="14.42578125" style="535" customWidth="1"/>
    <col min="4870" max="4870" width="13" style="535" customWidth="1"/>
    <col min="4871" max="4871" width="14.85546875" style="535" customWidth="1"/>
    <col min="4872" max="5120" width="11.42578125" style="535"/>
    <col min="5121" max="5121" width="21.140625" style="535" customWidth="1"/>
    <col min="5122" max="5122" width="11.85546875" style="535" customWidth="1"/>
    <col min="5123" max="5124" width="11.42578125" style="535"/>
    <col min="5125" max="5125" width="14.42578125" style="535" customWidth="1"/>
    <col min="5126" max="5126" width="13" style="535" customWidth="1"/>
    <col min="5127" max="5127" width="14.85546875" style="535" customWidth="1"/>
    <col min="5128" max="5376" width="11.42578125" style="535"/>
    <col min="5377" max="5377" width="21.140625" style="535" customWidth="1"/>
    <col min="5378" max="5378" width="11.85546875" style="535" customWidth="1"/>
    <col min="5379" max="5380" width="11.42578125" style="535"/>
    <col min="5381" max="5381" width="14.42578125" style="535" customWidth="1"/>
    <col min="5382" max="5382" width="13" style="535" customWidth="1"/>
    <col min="5383" max="5383" width="14.85546875" style="535" customWidth="1"/>
    <col min="5384" max="5632" width="11.42578125" style="535"/>
    <col min="5633" max="5633" width="21.140625" style="535" customWidth="1"/>
    <col min="5634" max="5634" width="11.85546875" style="535" customWidth="1"/>
    <col min="5635" max="5636" width="11.42578125" style="535"/>
    <col min="5637" max="5637" width="14.42578125" style="535" customWidth="1"/>
    <col min="5638" max="5638" width="13" style="535" customWidth="1"/>
    <col min="5639" max="5639" width="14.85546875" style="535" customWidth="1"/>
    <col min="5640" max="5888" width="11.42578125" style="535"/>
    <col min="5889" max="5889" width="21.140625" style="535" customWidth="1"/>
    <col min="5890" max="5890" width="11.85546875" style="535" customWidth="1"/>
    <col min="5891" max="5892" width="11.42578125" style="535"/>
    <col min="5893" max="5893" width="14.42578125" style="535" customWidth="1"/>
    <col min="5894" max="5894" width="13" style="535" customWidth="1"/>
    <col min="5895" max="5895" width="14.85546875" style="535" customWidth="1"/>
    <col min="5896" max="6144" width="11.42578125" style="535"/>
    <col min="6145" max="6145" width="21.140625" style="535" customWidth="1"/>
    <col min="6146" max="6146" width="11.85546875" style="535" customWidth="1"/>
    <col min="6147" max="6148" width="11.42578125" style="535"/>
    <col min="6149" max="6149" width="14.42578125" style="535" customWidth="1"/>
    <col min="6150" max="6150" width="13" style="535" customWidth="1"/>
    <col min="6151" max="6151" width="14.85546875" style="535" customWidth="1"/>
    <col min="6152" max="6400" width="11.42578125" style="535"/>
    <col min="6401" max="6401" width="21.140625" style="535" customWidth="1"/>
    <col min="6402" max="6402" width="11.85546875" style="535" customWidth="1"/>
    <col min="6403" max="6404" width="11.42578125" style="535"/>
    <col min="6405" max="6405" width="14.42578125" style="535" customWidth="1"/>
    <col min="6406" max="6406" width="13" style="535" customWidth="1"/>
    <col min="6407" max="6407" width="14.85546875" style="535" customWidth="1"/>
    <col min="6408" max="6656" width="11.42578125" style="535"/>
    <col min="6657" max="6657" width="21.140625" style="535" customWidth="1"/>
    <col min="6658" max="6658" width="11.85546875" style="535" customWidth="1"/>
    <col min="6659" max="6660" width="11.42578125" style="535"/>
    <col min="6661" max="6661" width="14.42578125" style="535" customWidth="1"/>
    <col min="6662" max="6662" width="13" style="535" customWidth="1"/>
    <col min="6663" max="6663" width="14.85546875" style="535" customWidth="1"/>
    <col min="6664" max="6912" width="11.42578125" style="535"/>
    <col min="6913" max="6913" width="21.140625" style="535" customWidth="1"/>
    <col min="6914" max="6914" width="11.85546875" style="535" customWidth="1"/>
    <col min="6915" max="6916" width="11.42578125" style="535"/>
    <col min="6917" max="6917" width="14.42578125" style="535" customWidth="1"/>
    <col min="6918" max="6918" width="13" style="535" customWidth="1"/>
    <col min="6919" max="6919" width="14.85546875" style="535" customWidth="1"/>
    <col min="6920" max="7168" width="11.42578125" style="535"/>
    <col min="7169" max="7169" width="21.140625" style="535" customWidth="1"/>
    <col min="7170" max="7170" width="11.85546875" style="535" customWidth="1"/>
    <col min="7171" max="7172" width="11.42578125" style="535"/>
    <col min="7173" max="7173" width="14.42578125" style="535" customWidth="1"/>
    <col min="7174" max="7174" width="13" style="535" customWidth="1"/>
    <col min="7175" max="7175" width="14.85546875" style="535" customWidth="1"/>
    <col min="7176" max="7424" width="11.42578125" style="535"/>
    <col min="7425" max="7425" width="21.140625" style="535" customWidth="1"/>
    <col min="7426" max="7426" width="11.85546875" style="535" customWidth="1"/>
    <col min="7427" max="7428" width="11.42578125" style="535"/>
    <col min="7429" max="7429" width="14.42578125" style="535" customWidth="1"/>
    <col min="7430" max="7430" width="13" style="535" customWidth="1"/>
    <col min="7431" max="7431" width="14.85546875" style="535" customWidth="1"/>
    <col min="7432" max="7680" width="11.42578125" style="535"/>
    <col min="7681" max="7681" width="21.140625" style="535" customWidth="1"/>
    <col min="7682" max="7682" width="11.85546875" style="535" customWidth="1"/>
    <col min="7683" max="7684" width="11.42578125" style="535"/>
    <col min="7685" max="7685" width="14.42578125" style="535" customWidth="1"/>
    <col min="7686" max="7686" width="13" style="535" customWidth="1"/>
    <col min="7687" max="7687" width="14.85546875" style="535" customWidth="1"/>
    <col min="7688" max="7936" width="11.42578125" style="535"/>
    <col min="7937" max="7937" width="21.140625" style="535" customWidth="1"/>
    <col min="7938" max="7938" width="11.85546875" style="535" customWidth="1"/>
    <col min="7939" max="7940" width="11.42578125" style="535"/>
    <col min="7941" max="7941" width="14.42578125" style="535" customWidth="1"/>
    <col min="7942" max="7942" width="13" style="535" customWidth="1"/>
    <col min="7943" max="7943" width="14.85546875" style="535" customWidth="1"/>
    <col min="7944" max="8192" width="11.42578125" style="535"/>
    <col min="8193" max="8193" width="21.140625" style="535" customWidth="1"/>
    <col min="8194" max="8194" width="11.85546875" style="535" customWidth="1"/>
    <col min="8195" max="8196" width="11.42578125" style="535"/>
    <col min="8197" max="8197" width="14.42578125" style="535" customWidth="1"/>
    <col min="8198" max="8198" width="13" style="535" customWidth="1"/>
    <col min="8199" max="8199" width="14.85546875" style="535" customWidth="1"/>
    <col min="8200" max="8448" width="11.42578125" style="535"/>
    <col min="8449" max="8449" width="21.140625" style="535" customWidth="1"/>
    <col min="8450" max="8450" width="11.85546875" style="535" customWidth="1"/>
    <col min="8451" max="8452" width="11.42578125" style="535"/>
    <col min="8453" max="8453" width="14.42578125" style="535" customWidth="1"/>
    <col min="8454" max="8454" width="13" style="535" customWidth="1"/>
    <col min="8455" max="8455" width="14.85546875" style="535" customWidth="1"/>
    <col min="8456" max="8704" width="11.42578125" style="535"/>
    <col min="8705" max="8705" width="21.140625" style="535" customWidth="1"/>
    <col min="8706" max="8706" width="11.85546875" style="535" customWidth="1"/>
    <col min="8707" max="8708" width="11.42578125" style="535"/>
    <col min="8709" max="8709" width="14.42578125" style="535" customWidth="1"/>
    <col min="8710" max="8710" width="13" style="535" customWidth="1"/>
    <col min="8711" max="8711" width="14.85546875" style="535" customWidth="1"/>
    <col min="8712" max="8960" width="11.42578125" style="535"/>
    <col min="8961" max="8961" width="21.140625" style="535" customWidth="1"/>
    <col min="8962" max="8962" width="11.85546875" style="535" customWidth="1"/>
    <col min="8963" max="8964" width="11.42578125" style="535"/>
    <col min="8965" max="8965" width="14.42578125" style="535" customWidth="1"/>
    <col min="8966" max="8966" width="13" style="535" customWidth="1"/>
    <col min="8967" max="8967" width="14.85546875" style="535" customWidth="1"/>
    <col min="8968" max="9216" width="11.42578125" style="535"/>
    <col min="9217" max="9217" width="21.140625" style="535" customWidth="1"/>
    <col min="9218" max="9218" width="11.85546875" style="535" customWidth="1"/>
    <col min="9219" max="9220" width="11.42578125" style="535"/>
    <col min="9221" max="9221" width="14.42578125" style="535" customWidth="1"/>
    <col min="9222" max="9222" width="13" style="535" customWidth="1"/>
    <col min="9223" max="9223" width="14.85546875" style="535" customWidth="1"/>
    <col min="9224" max="9472" width="11.42578125" style="535"/>
    <col min="9473" max="9473" width="21.140625" style="535" customWidth="1"/>
    <col min="9474" max="9474" width="11.85546875" style="535" customWidth="1"/>
    <col min="9475" max="9476" width="11.42578125" style="535"/>
    <col min="9477" max="9477" width="14.42578125" style="535" customWidth="1"/>
    <col min="9478" max="9478" width="13" style="535" customWidth="1"/>
    <col min="9479" max="9479" width="14.85546875" style="535" customWidth="1"/>
    <col min="9480" max="9728" width="11.42578125" style="535"/>
    <col min="9729" max="9729" width="21.140625" style="535" customWidth="1"/>
    <col min="9730" max="9730" width="11.85546875" style="535" customWidth="1"/>
    <col min="9731" max="9732" width="11.42578125" style="535"/>
    <col min="9733" max="9733" width="14.42578125" style="535" customWidth="1"/>
    <col min="9734" max="9734" width="13" style="535" customWidth="1"/>
    <col min="9735" max="9735" width="14.85546875" style="535" customWidth="1"/>
    <col min="9736" max="9984" width="11.42578125" style="535"/>
    <col min="9985" max="9985" width="21.140625" style="535" customWidth="1"/>
    <col min="9986" max="9986" width="11.85546875" style="535" customWidth="1"/>
    <col min="9987" max="9988" width="11.42578125" style="535"/>
    <col min="9989" max="9989" width="14.42578125" style="535" customWidth="1"/>
    <col min="9990" max="9990" width="13" style="535" customWidth="1"/>
    <col min="9991" max="9991" width="14.85546875" style="535" customWidth="1"/>
    <col min="9992" max="10240" width="11.42578125" style="535"/>
    <col min="10241" max="10241" width="21.140625" style="535" customWidth="1"/>
    <col min="10242" max="10242" width="11.85546875" style="535" customWidth="1"/>
    <col min="10243" max="10244" width="11.42578125" style="535"/>
    <col min="10245" max="10245" width="14.42578125" style="535" customWidth="1"/>
    <col min="10246" max="10246" width="13" style="535" customWidth="1"/>
    <col min="10247" max="10247" width="14.85546875" style="535" customWidth="1"/>
    <col min="10248" max="10496" width="11.42578125" style="535"/>
    <col min="10497" max="10497" width="21.140625" style="535" customWidth="1"/>
    <col min="10498" max="10498" width="11.85546875" style="535" customWidth="1"/>
    <col min="10499" max="10500" width="11.42578125" style="535"/>
    <col min="10501" max="10501" width="14.42578125" style="535" customWidth="1"/>
    <col min="10502" max="10502" width="13" style="535" customWidth="1"/>
    <col min="10503" max="10503" width="14.85546875" style="535" customWidth="1"/>
    <col min="10504" max="10752" width="11.42578125" style="535"/>
    <col min="10753" max="10753" width="21.140625" style="535" customWidth="1"/>
    <col min="10754" max="10754" width="11.85546875" style="535" customWidth="1"/>
    <col min="10755" max="10756" width="11.42578125" style="535"/>
    <col min="10757" max="10757" width="14.42578125" style="535" customWidth="1"/>
    <col min="10758" max="10758" width="13" style="535" customWidth="1"/>
    <col min="10759" max="10759" width="14.85546875" style="535" customWidth="1"/>
    <col min="10760" max="11008" width="11.42578125" style="535"/>
    <col min="11009" max="11009" width="21.140625" style="535" customWidth="1"/>
    <col min="11010" max="11010" width="11.85546875" style="535" customWidth="1"/>
    <col min="11011" max="11012" width="11.42578125" style="535"/>
    <col min="11013" max="11013" width="14.42578125" style="535" customWidth="1"/>
    <col min="11014" max="11014" width="13" style="535" customWidth="1"/>
    <col min="11015" max="11015" width="14.85546875" style="535" customWidth="1"/>
    <col min="11016" max="11264" width="11.42578125" style="535"/>
    <col min="11265" max="11265" width="21.140625" style="535" customWidth="1"/>
    <col min="11266" max="11266" width="11.85546875" style="535" customWidth="1"/>
    <col min="11267" max="11268" width="11.42578125" style="535"/>
    <col min="11269" max="11269" width="14.42578125" style="535" customWidth="1"/>
    <col min="11270" max="11270" width="13" style="535" customWidth="1"/>
    <col min="11271" max="11271" width="14.85546875" style="535" customWidth="1"/>
    <col min="11272" max="11520" width="11.42578125" style="535"/>
    <col min="11521" max="11521" width="21.140625" style="535" customWidth="1"/>
    <col min="11522" max="11522" width="11.85546875" style="535" customWidth="1"/>
    <col min="11523" max="11524" width="11.42578125" style="535"/>
    <col min="11525" max="11525" width="14.42578125" style="535" customWidth="1"/>
    <col min="11526" max="11526" width="13" style="535" customWidth="1"/>
    <col min="11527" max="11527" width="14.85546875" style="535" customWidth="1"/>
    <col min="11528" max="11776" width="11.42578125" style="535"/>
    <col min="11777" max="11777" width="21.140625" style="535" customWidth="1"/>
    <col min="11778" max="11778" width="11.85546875" style="535" customWidth="1"/>
    <col min="11779" max="11780" width="11.42578125" style="535"/>
    <col min="11781" max="11781" width="14.42578125" style="535" customWidth="1"/>
    <col min="11782" max="11782" width="13" style="535" customWidth="1"/>
    <col min="11783" max="11783" width="14.85546875" style="535" customWidth="1"/>
    <col min="11784" max="12032" width="11.42578125" style="535"/>
    <col min="12033" max="12033" width="21.140625" style="535" customWidth="1"/>
    <col min="12034" max="12034" width="11.85546875" style="535" customWidth="1"/>
    <col min="12035" max="12036" width="11.42578125" style="535"/>
    <col min="12037" max="12037" width="14.42578125" style="535" customWidth="1"/>
    <col min="12038" max="12038" width="13" style="535" customWidth="1"/>
    <col min="12039" max="12039" width="14.85546875" style="535" customWidth="1"/>
    <col min="12040" max="12288" width="11.42578125" style="535"/>
    <col min="12289" max="12289" width="21.140625" style="535" customWidth="1"/>
    <col min="12290" max="12290" width="11.85546875" style="535" customWidth="1"/>
    <col min="12291" max="12292" width="11.42578125" style="535"/>
    <col min="12293" max="12293" width="14.42578125" style="535" customWidth="1"/>
    <col min="12294" max="12294" width="13" style="535" customWidth="1"/>
    <col min="12295" max="12295" width="14.85546875" style="535" customWidth="1"/>
    <col min="12296" max="12544" width="11.42578125" style="535"/>
    <col min="12545" max="12545" width="21.140625" style="535" customWidth="1"/>
    <col min="12546" max="12546" width="11.85546875" style="535" customWidth="1"/>
    <col min="12547" max="12548" width="11.42578125" style="535"/>
    <col min="12549" max="12549" width="14.42578125" style="535" customWidth="1"/>
    <col min="12550" max="12550" width="13" style="535" customWidth="1"/>
    <col min="12551" max="12551" width="14.85546875" style="535" customWidth="1"/>
    <col min="12552" max="12800" width="11.42578125" style="535"/>
    <col min="12801" max="12801" width="21.140625" style="535" customWidth="1"/>
    <col min="12802" max="12802" width="11.85546875" style="535" customWidth="1"/>
    <col min="12803" max="12804" width="11.42578125" style="535"/>
    <col min="12805" max="12805" width="14.42578125" style="535" customWidth="1"/>
    <col min="12806" max="12806" width="13" style="535" customWidth="1"/>
    <col min="12807" max="12807" width="14.85546875" style="535" customWidth="1"/>
    <col min="12808" max="13056" width="11.42578125" style="535"/>
    <col min="13057" max="13057" width="21.140625" style="535" customWidth="1"/>
    <col min="13058" max="13058" width="11.85546875" style="535" customWidth="1"/>
    <col min="13059" max="13060" width="11.42578125" style="535"/>
    <col min="13061" max="13061" width="14.42578125" style="535" customWidth="1"/>
    <col min="13062" max="13062" width="13" style="535" customWidth="1"/>
    <col min="13063" max="13063" width="14.85546875" style="535" customWidth="1"/>
    <col min="13064" max="13312" width="11.42578125" style="535"/>
    <col min="13313" max="13313" width="21.140625" style="535" customWidth="1"/>
    <col min="13314" max="13314" width="11.85546875" style="535" customWidth="1"/>
    <col min="13315" max="13316" width="11.42578125" style="535"/>
    <col min="13317" max="13317" width="14.42578125" style="535" customWidth="1"/>
    <col min="13318" max="13318" width="13" style="535" customWidth="1"/>
    <col min="13319" max="13319" width="14.85546875" style="535" customWidth="1"/>
    <col min="13320" max="13568" width="11.42578125" style="535"/>
    <col min="13569" max="13569" width="21.140625" style="535" customWidth="1"/>
    <col min="13570" max="13570" width="11.85546875" style="535" customWidth="1"/>
    <col min="13571" max="13572" width="11.42578125" style="535"/>
    <col min="13573" max="13573" width="14.42578125" style="535" customWidth="1"/>
    <col min="13574" max="13574" width="13" style="535" customWidth="1"/>
    <col min="13575" max="13575" width="14.85546875" style="535" customWidth="1"/>
    <col min="13576" max="13824" width="11.42578125" style="535"/>
    <col min="13825" max="13825" width="21.140625" style="535" customWidth="1"/>
    <col min="13826" max="13826" width="11.85546875" style="535" customWidth="1"/>
    <col min="13827" max="13828" width="11.42578125" style="535"/>
    <col min="13829" max="13829" width="14.42578125" style="535" customWidth="1"/>
    <col min="13830" max="13830" width="13" style="535" customWidth="1"/>
    <col min="13831" max="13831" width="14.85546875" style="535" customWidth="1"/>
    <col min="13832" max="14080" width="11.42578125" style="535"/>
    <col min="14081" max="14081" width="21.140625" style="535" customWidth="1"/>
    <col min="14082" max="14082" width="11.85546875" style="535" customWidth="1"/>
    <col min="14083" max="14084" width="11.42578125" style="535"/>
    <col min="14085" max="14085" width="14.42578125" style="535" customWidth="1"/>
    <col min="14086" max="14086" width="13" style="535" customWidth="1"/>
    <col min="14087" max="14087" width="14.85546875" style="535" customWidth="1"/>
    <col min="14088" max="14336" width="11.42578125" style="535"/>
    <col min="14337" max="14337" width="21.140625" style="535" customWidth="1"/>
    <col min="14338" max="14338" width="11.85546875" style="535" customWidth="1"/>
    <col min="14339" max="14340" width="11.42578125" style="535"/>
    <col min="14341" max="14341" width="14.42578125" style="535" customWidth="1"/>
    <col min="14342" max="14342" width="13" style="535" customWidth="1"/>
    <col min="14343" max="14343" width="14.85546875" style="535" customWidth="1"/>
    <col min="14344" max="14592" width="11.42578125" style="535"/>
    <col min="14593" max="14593" width="21.140625" style="535" customWidth="1"/>
    <col min="14594" max="14594" width="11.85546875" style="535" customWidth="1"/>
    <col min="14595" max="14596" width="11.42578125" style="535"/>
    <col min="14597" max="14597" width="14.42578125" style="535" customWidth="1"/>
    <col min="14598" max="14598" width="13" style="535" customWidth="1"/>
    <col min="14599" max="14599" width="14.85546875" style="535" customWidth="1"/>
    <col min="14600" max="14848" width="11.42578125" style="535"/>
    <col min="14849" max="14849" width="21.140625" style="535" customWidth="1"/>
    <col min="14850" max="14850" width="11.85546875" style="535" customWidth="1"/>
    <col min="14851" max="14852" width="11.42578125" style="535"/>
    <col min="14853" max="14853" width="14.42578125" style="535" customWidth="1"/>
    <col min="14854" max="14854" width="13" style="535" customWidth="1"/>
    <col min="14855" max="14855" width="14.85546875" style="535" customWidth="1"/>
    <col min="14856" max="15104" width="11.42578125" style="535"/>
    <col min="15105" max="15105" width="21.140625" style="535" customWidth="1"/>
    <col min="15106" max="15106" width="11.85546875" style="535" customWidth="1"/>
    <col min="15107" max="15108" width="11.42578125" style="535"/>
    <col min="15109" max="15109" width="14.42578125" style="535" customWidth="1"/>
    <col min="15110" max="15110" width="13" style="535" customWidth="1"/>
    <col min="15111" max="15111" width="14.85546875" style="535" customWidth="1"/>
    <col min="15112" max="15360" width="11.42578125" style="535"/>
    <col min="15361" max="15361" width="21.140625" style="535" customWidth="1"/>
    <col min="15362" max="15362" width="11.85546875" style="535" customWidth="1"/>
    <col min="15363" max="15364" width="11.42578125" style="535"/>
    <col min="15365" max="15365" width="14.42578125" style="535" customWidth="1"/>
    <col min="15366" max="15366" width="13" style="535" customWidth="1"/>
    <col min="15367" max="15367" width="14.85546875" style="535" customWidth="1"/>
    <col min="15368" max="15616" width="11.42578125" style="535"/>
    <col min="15617" max="15617" width="21.140625" style="535" customWidth="1"/>
    <col min="15618" max="15618" width="11.85546875" style="535" customWidth="1"/>
    <col min="15619" max="15620" width="11.42578125" style="535"/>
    <col min="15621" max="15621" width="14.42578125" style="535" customWidth="1"/>
    <col min="15622" max="15622" width="13" style="535" customWidth="1"/>
    <col min="15623" max="15623" width="14.85546875" style="535" customWidth="1"/>
    <col min="15624" max="15872" width="11.42578125" style="535"/>
    <col min="15873" max="15873" width="21.140625" style="535" customWidth="1"/>
    <col min="15874" max="15874" width="11.85546875" style="535" customWidth="1"/>
    <col min="15875" max="15876" width="11.42578125" style="535"/>
    <col min="15877" max="15877" width="14.42578125" style="535" customWidth="1"/>
    <col min="15878" max="15878" width="13" style="535" customWidth="1"/>
    <col min="15879" max="15879" width="14.85546875" style="535" customWidth="1"/>
    <col min="15880" max="16128" width="11.42578125" style="535"/>
    <col min="16129" max="16129" width="21.140625" style="535" customWidth="1"/>
    <col min="16130" max="16130" width="11.85546875" style="535" customWidth="1"/>
    <col min="16131" max="16132" width="11.42578125" style="535"/>
    <col min="16133" max="16133" width="14.42578125" style="535" customWidth="1"/>
    <col min="16134" max="16134" width="13" style="535" customWidth="1"/>
    <col min="16135" max="16135" width="14.85546875" style="535" customWidth="1"/>
    <col min="16136" max="16384" width="11.42578125" style="535"/>
  </cols>
  <sheetData>
    <row r="2" spans="1:14" ht="15.75">
      <c r="A2" s="1424" t="s">
        <v>459</v>
      </c>
      <c r="B2" s="1425"/>
      <c r="C2" s="1425"/>
      <c r="D2" s="1425"/>
      <c r="E2" s="1425"/>
      <c r="F2" s="1425"/>
    </row>
    <row r="4" spans="1:14" ht="51">
      <c r="A4" s="626" t="s">
        <v>460</v>
      </c>
      <c r="B4" s="627" t="s">
        <v>461</v>
      </c>
      <c r="C4" s="628" t="s">
        <v>642</v>
      </c>
      <c r="D4" s="627" t="s">
        <v>641</v>
      </c>
      <c r="E4" s="627" t="s">
        <v>464</v>
      </c>
      <c r="F4" s="629" t="s">
        <v>643</v>
      </c>
      <c r="G4" s="630" t="s">
        <v>644</v>
      </c>
      <c r="H4" s="627" t="s">
        <v>467</v>
      </c>
      <c r="J4" s="628" t="s">
        <v>645</v>
      </c>
      <c r="K4" s="629" t="s">
        <v>643</v>
      </c>
      <c r="L4" s="630" t="s">
        <v>644</v>
      </c>
    </row>
    <row r="5" spans="1:14">
      <c r="A5" s="631" t="s">
        <v>9</v>
      </c>
      <c r="B5" s="632">
        <v>1.6</v>
      </c>
      <c r="C5" s="633">
        <v>0.16666666666666666</v>
      </c>
      <c r="D5" s="633">
        <v>0.16666666666666666</v>
      </c>
      <c r="E5" s="632">
        <v>0</v>
      </c>
      <c r="F5" s="632">
        <f>+J5+K5</f>
        <v>1.6</v>
      </c>
      <c r="G5" s="632">
        <f>SUM(J5:L5)</f>
        <v>1.6</v>
      </c>
      <c r="H5" s="632">
        <v>1.26</v>
      </c>
      <c r="I5" s="634"/>
      <c r="J5" s="633">
        <v>0.16666666666666666</v>
      </c>
      <c r="K5" s="632">
        <v>1.4333333333333333</v>
      </c>
      <c r="L5" s="633">
        <v>0</v>
      </c>
    </row>
    <row r="6" spans="1:14">
      <c r="A6" s="631" t="s">
        <v>25</v>
      </c>
      <c r="B6" s="632">
        <v>2.74</v>
      </c>
      <c r="C6" s="632">
        <v>0</v>
      </c>
      <c r="D6" s="632">
        <v>0</v>
      </c>
      <c r="E6" s="635">
        <v>0</v>
      </c>
      <c r="F6" s="632">
        <f t="shared" ref="F6:F36" si="0">+J6+K6</f>
        <v>2.74</v>
      </c>
      <c r="G6" s="632">
        <f t="shared" ref="G6:G36" si="1">SUM(J6:L6)</f>
        <v>2.74</v>
      </c>
      <c r="H6" s="632">
        <v>1.6</v>
      </c>
      <c r="I6" s="634"/>
      <c r="J6" s="632">
        <v>0</v>
      </c>
      <c r="K6" s="632">
        <v>2.74</v>
      </c>
      <c r="L6" s="632">
        <v>0</v>
      </c>
    </row>
    <row r="7" spans="1:14">
      <c r="A7" s="631" t="s">
        <v>81</v>
      </c>
      <c r="B7" s="632">
        <v>4.0270000000000001</v>
      </c>
      <c r="C7" s="633">
        <v>1.242</v>
      </c>
      <c r="D7" s="633">
        <v>1.242</v>
      </c>
      <c r="E7" s="636">
        <v>0</v>
      </c>
      <c r="F7" s="632">
        <f t="shared" si="0"/>
        <v>4.0270000000000001</v>
      </c>
      <c r="G7" s="632">
        <f t="shared" si="1"/>
        <v>4.0270000000000001</v>
      </c>
      <c r="H7" s="632">
        <v>2.4700000000000002</v>
      </c>
      <c r="I7" s="634"/>
      <c r="J7" s="633">
        <v>1.242</v>
      </c>
      <c r="K7" s="633">
        <v>2.7850000000000001</v>
      </c>
      <c r="L7" s="633">
        <v>0</v>
      </c>
    </row>
    <row r="8" spans="1:14">
      <c r="A8" s="631" t="s">
        <v>237</v>
      </c>
      <c r="B8" s="632">
        <v>4.331666666666667</v>
      </c>
      <c r="C8" s="633">
        <v>1.84</v>
      </c>
      <c r="D8" s="632">
        <v>1.6</v>
      </c>
      <c r="E8" s="636">
        <v>0.24</v>
      </c>
      <c r="F8" s="632">
        <f t="shared" si="0"/>
        <v>3.7666666666666666</v>
      </c>
      <c r="G8" s="632">
        <f t="shared" si="1"/>
        <v>4.331666666666667</v>
      </c>
      <c r="H8" s="632">
        <v>3.4706666666666663</v>
      </c>
      <c r="I8" s="634"/>
      <c r="J8" s="633">
        <v>1.84</v>
      </c>
      <c r="K8" s="633">
        <v>1.9266666666666665</v>
      </c>
      <c r="L8" s="633">
        <v>0.56499999999999995</v>
      </c>
    </row>
    <row r="9" spans="1:14">
      <c r="A9" s="631" t="s">
        <v>468</v>
      </c>
      <c r="B9" s="632">
        <v>4.7500000000000009</v>
      </c>
      <c r="C9" s="633">
        <v>1.3780000000000001</v>
      </c>
      <c r="D9" s="633">
        <v>1.1483333333333334</v>
      </c>
      <c r="E9" s="632">
        <v>0.22966666666666669</v>
      </c>
      <c r="F9" s="632">
        <f t="shared" si="0"/>
        <v>3.9583333333333339</v>
      </c>
      <c r="G9" s="632">
        <f t="shared" si="1"/>
        <v>4.7500000000000009</v>
      </c>
      <c r="H9" s="632">
        <v>3.23</v>
      </c>
      <c r="I9" s="634"/>
      <c r="J9" s="633">
        <v>1.3780000000000001</v>
      </c>
      <c r="K9" s="632">
        <v>2.5803333333333338</v>
      </c>
      <c r="L9" s="633">
        <v>0.79166666666666685</v>
      </c>
    </row>
    <row r="10" spans="1:14">
      <c r="A10" s="631" t="s">
        <v>32</v>
      </c>
      <c r="B10" s="632">
        <v>4.9352500000000008</v>
      </c>
      <c r="C10" s="632">
        <v>4.2945333333333338</v>
      </c>
      <c r="D10" s="632">
        <v>4.2945333333333338</v>
      </c>
      <c r="E10" s="635">
        <v>0</v>
      </c>
      <c r="F10" s="632">
        <f t="shared" si="0"/>
        <v>4.2945333333333338</v>
      </c>
      <c r="G10" s="632">
        <f t="shared" si="1"/>
        <v>4.9352500000000008</v>
      </c>
      <c r="H10" s="632">
        <v>3.7213333333333334</v>
      </c>
      <c r="I10" s="634"/>
      <c r="J10" s="632">
        <v>4.2945333333333338</v>
      </c>
      <c r="K10" s="632">
        <v>0</v>
      </c>
      <c r="L10" s="632">
        <v>0.64071666666666671</v>
      </c>
    </row>
    <row r="11" spans="1:14">
      <c r="A11" s="631" t="s">
        <v>14</v>
      </c>
      <c r="B11" s="632">
        <v>5.2553333333333336</v>
      </c>
      <c r="C11" s="633">
        <v>0.27683333333333332</v>
      </c>
      <c r="D11" s="633">
        <v>0.27683333333333332</v>
      </c>
      <c r="E11" s="636">
        <v>0</v>
      </c>
      <c r="F11" s="632">
        <f t="shared" si="0"/>
        <v>5.2553333333333336</v>
      </c>
      <c r="G11" s="632">
        <f t="shared" si="1"/>
        <v>5.2553333333333336</v>
      </c>
      <c r="H11" s="632">
        <v>3.83</v>
      </c>
      <c r="I11" s="634"/>
      <c r="J11" s="633">
        <v>0.27683333333333332</v>
      </c>
      <c r="K11" s="633">
        <v>4.9785000000000004</v>
      </c>
      <c r="L11" s="633">
        <v>0</v>
      </c>
    </row>
    <row r="12" spans="1:14">
      <c r="A12" s="631" t="s">
        <v>469</v>
      </c>
      <c r="B12" s="632">
        <v>5.4756</v>
      </c>
      <c r="C12" s="633">
        <v>1.4004923333333332</v>
      </c>
      <c r="D12" s="633">
        <v>1.2743333333333333</v>
      </c>
      <c r="E12" s="632">
        <v>0.12615899999999999</v>
      </c>
      <c r="F12" s="632">
        <f t="shared" si="0"/>
        <v>4.056</v>
      </c>
      <c r="G12" s="632">
        <f t="shared" si="1"/>
        <v>5.4756</v>
      </c>
      <c r="H12" s="632">
        <v>3.6230000000000002</v>
      </c>
      <c r="I12" s="634"/>
      <c r="J12" s="633">
        <v>1.4004923333333332</v>
      </c>
      <c r="K12" s="632">
        <v>2.6555076666666668</v>
      </c>
      <c r="L12" s="633">
        <v>1.4196</v>
      </c>
    </row>
    <row r="13" spans="1:14">
      <c r="A13" s="631" t="s">
        <v>126</v>
      </c>
      <c r="B13" s="632">
        <v>5.8362500000000006</v>
      </c>
      <c r="C13" s="633">
        <v>0</v>
      </c>
      <c r="D13" s="633">
        <v>0</v>
      </c>
      <c r="E13" s="632">
        <v>0</v>
      </c>
      <c r="F13" s="632">
        <f t="shared" si="0"/>
        <v>5.5583333333333336</v>
      </c>
      <c r="G13" s="632">
        <f t="shared" si="1"/>
        <v>5.8362500000000006</v>
      </c>
      <c r="H13" s="632">
        <v>3.9299999999999997</v>
      </c>
      <c r="I13" s="634"/>
      <c r="J13" s="633">
        <v>0</v>
      </c>
      <c r="K13" s="632">
        <v>5.5583333333333336</v>
      </c>
      <c r="L13" s="633">
        <v>0.2779166666666667</v>
      </c>
    </row>
    <row r="14" spans="1:14">
      <c r="A14" s="631" t="s">
        <v>86</v>
      </c>
      <c r="B14" s="632">
        <v>5.85</v>
      </c>
      <c r="C14" s="633">
        <v>3.5999999999999996</v>
      </c>
      <c r="D14" s="633">
        <v>2.4</v>
      </c>
      <c r="E14" s="632">
        <v>1.2</v>
      </c>
      <c r="F14" s="632">
        <f t="shared" si="0"/>
        <v>3.9</v>
      </c>
      <c r="G14" s="632">
        <f t="shared" si="1"/>
        <v>5.85</v>
      </c>
      <c r="H14" s="632">
        <v>4.9473333333333338</v>
      </c>
      <c r="I14" s="634"/>
      <c r="J14" s="633">
        <v>3.5999999999999996</v>
      </c>
      <c r="K14" s="632">
        <v>0.30000000000000027</v>
      </c>
      <c r="L14" s="633">
        <v>1.95</v>
      </c>
    </row>
    <row r="15" spans="1:14">
      <c r="A15" s="631" t="s">
        <v>145</v>
      </c>
      <c r="B15" s="632">
        <v>6.942400000000001</v>
      </c>
      <c r="C15" s="633">
        <v>1.7391999999999999</v>
      </c>
      <c r="D15" s="632">
        <v>1.4493333333333331</v>
      </c>
      <c r="E15" s="636">
        <v>0.28986666666666666</v>
      </c>
      <c r="F15" s="632">
        <f t="shared" si="0"/>
        <v>5.7853333333333339</v>
      </c>
      <c r="G15" s="632">
        <f t="shared" si="1"/>
        <v>6.942400000000001</v>
      </c>
      <c r="H15" s="632">
        <v>4.8541350000000003</v>
      </c>
      <c r="I15" s="634"/>
      <c r="J15" s="633">
        <v>1.7391999999999999</v>
      </c>
      <c r="K15" s="633">
        <v>4.0461333333333336</v>
      </c>
      <c r="L15" s="633">
        <v>1.1570666666666667</v>
      </c>
    </row>
    <row r="16" spans="1:14">
      <c r="A16" s="631" t="s">
        <v>125</v>
      </c>
      <c r="B16" s="632">
        <v>6.942400000000001</v>
      </c>
      <c r="C16" s="632">
        <v>1.7391999999999999</v>
      </c>
      <c r="D16" s="632">
        <v>1.4493333333333331</v>
      </c>
      <c r="E16" s="632">
        <v>0.28986666666666666</v>
      </c>
      <c r="F16" s="632">
        <f t="shared" si="0"/>
        <v>5.7853333333333339</v>
      </c>
      <c r="G16" s="632">
        <f t="shared" si="1"/>
        <v>6.942400000000001</v>
      </c>
      <c r="H16" s="632">
        <v>3.7091670000000003</v>
      </c>
      <c r="I16" s="634"/>
      <c r="J16" s="632">
        <v>1.7391999999999999</v>
      </c>
      <c r="K16" s="632">
        <v>4.0461333333333336</v>
      </c>
      <c r="L16" s="632">
        <v>1.1570666666666667</v>
      </c>
      <c r="N16" s="82"/>
    </row>
    <row r="17" spans="1:14">
      <c r="A17" s="631" t="s">
        <v>470</v>
      </c>
      <c r="B17" s="632">
        <v>6.9793145283333331</v>
      </c>
      <c r="C17" s="633">
        <v>1.9949371450000002</v>
      </c>
      <c r="D17" s="633">
        <v>1.4561585000000001</v>
      </c>
      <c r="E17" s="632">
        <v>0.53877864500000006</v>
      </c>
      <c r="F17" s="632">
        <f t="shared" si="0"/>
        <v>5.0943901666666669</v>
      </c>
      <c r="G17" s="632">
        <f t="shared" si="1"/>
        <v>6.9793145283333331</v>
      </c>
      <c r="H17" s="632">
        <v>5.2436666666666669</v>
      </c>
      <c r="I17" s="634"/>
      <c r="J17" s="633">
        <v>1.9949371450000002</v>
      </c>
      <c r="K17" s="632">
        <v>3.0994530216666667</v>
      </c>
      <c r="L17" s="633">
        <v>1.8849243616666667</v>
      </c>
      <c r="N17" s="82">
        <v>138000</v>
      </c>
    </row>
    <row r="18" spans="1:14">
      <c r="A18" s="631" t="s">
        <v>471</v>
      </c>
      <c r="B18" s="632">
        <v>7.1160777519999998</v>
      </c>
      <c r="C18" s="632">
        <v>6.3171200000000001</v>
      </c>
      <c r="D18" s="632">
        <v>6.3171200000000001</v>
      </c>
      <c r="E18" s="635">
        <v>0</v>
      </c>
      <c r="F18" s="632">
        <f t="shared" si="0"/>
        <v>6.4750480000000001</v>
      </c>
      <c r="G18" s="632">
        <f t="shared" si="1"/>
        <v>7.1160777519999998</v>
      </c>
      <c r="H18" s="632">
        <v>5.7853333333333339</v>
      </c>
      <c r="I18" s="634"/>
      <c r="J18" s="632">
        <v>6.3171200000000001</v>
      </c>
      <c r="K18" s="632">
        <v>0.15792800000000007</v>
      </c>
      <c r="L18" s="632">
        <v>0.64102975200000001</v>
      </c>
      <c r="N18" s="82">
        <f>+N17/3000</f>
        <v>46</v>
      </c>
    </row>
    <row r="19" spans="1:14">
      <c r="A19" s="631" t="s">
        <v>235</v>
      </c>
      <c r="B19" s="632">
        <v>7.2332999999999998</v>
      </c>
      <c r="C19" s="632">
        <v>0.69480000000000008</v>
      </c>
      <c r="D19" s="632">
        <v>0.57900000000000007</v>
      </c>
      <c r="E19" s="635">
        <v>0.11580000000000001</v>
      </c>
      <c r="F19" s="632">
        <f t="shared" si="0"/>
        <v>5.13</v>
      </c>
      <c r="G19" s="632">
        <f t="shared" si="1"/>
        <v>7.2332999999999998</v>
      </c>
      <c r="H19" s="632">
        <v>5.7853333333333339</v>
      </c>
      <c r="I19" s="634"/>
      <c r="J19" s="632">
        <v>0.69480000000000008</v>
      </c>
      <c r="K19" s="632">
        <v>4.4352</v>
      </c>
      <c r="L19" s="632">
        <v>2.1032999999999999</v>
      </c>
      <c r="N19" s="82">
        <f>+N18/1.15</f>
        <v>40</v>
      </c>
    </row>
    <row r="20" spans="1:14">
      <c r="A20" s="631" t="s">
        <v>137</v>
      </c>
      <c r="B20" s="632">
        <v>7.72</v>
      </c>
      <c r="C20" s="633">
        <v>3.5300000000000002</v>
      </c>
      <c r="D20" s="633">
        <v>2.7</v>
      </c>
      <c r="E20" s="632">
        <v>0.83</v>
      </c>
      <c r="F20" s="632">
        <f t="shared" si="0"/>
        <v>3.79</v>
      </c>
      <c r="G20" s="632">
        <f t="shared" si="1"/>
        <v>7.72</v>
      </c>
      <c r="H20" s="632">
        <v>3.03</v>
      </c>
      <c r="I20" s="634"/>
      <c r="J20" s="633">
        <v>3.5300000000000002</v>
      </c>
      <c r="K20" s="632">
        <v>0.25999999999999979</v>
      </c>
      <c r="L20" s="633">
        <v>3.9299999999999997</v>
      </c>
      <c r="N20" s="82"/>
    </row>
    <row r="21" spans="1:14">
      <c r="A21" s="631" t="s">
        <v>472</v>
      </c>
      <c r="B21" s="632">
        <v>8.31</v>
      </c>
      <c r="C21" s="632">
        <v>3.2993333333333332</v>
      </c>
      <c r="D21" s="632">
        <v>1.8853333333333333</v>
      </c>
      <c r="E21" s="637">
        <v>1.4140000000000001</v>
      </c>
      <c r="F21" s="632">
        <f t="shared" si="0"/>
        <v>6.65</v>
      </c>
      <c r="G21" s="632">
        <f t="shared" si="1"/>
        <v>8.31</v>
      </c>
      <c r="H21" s="632">
        <v>4.8899999999999997</v>
      </c>
      <c r="I21" s="634"/>
      <c r="J21" s="632">
        <v>3.2993333333333332</v>
      </c>
      <c r="K21" s="632">
        <v>3.3506666666666671</v>
      </c>
      <c r="L21" s="632">
        <v>1.66</v>
      </c>
      <c r="N21" s="82"/>
    </row>
    <row r="22" spans="1:14">
      <c r="A22" s="631" t="s">
        <v>11</v>
      </c>
      <c r="B22" s="632">
        <v>8.3836217333333352</v>
      </c>
      <c r="C22" s="633">
        <v>2.712794366666667</v>
      </c>
      <c r="D22" s="633">
        <v>1.8085180333333335</v>
      </c>
      <c r="E22" s="632">
        <v>0.90427633333333335</v>
      </c>
      <c r="F22" s="632">
        <f t="shared" si="0"/>
        <v>3.7968177000000001</v>
      </c>
      <c r="G22" s="632">
        <f t="shared" si="1"/>
        <v>8.3836217333333352</v>
      </c>
      <c r="H22" s="632">
        <v>6.1696800000000005</v>
      </c>
      <c r="I22" s="634"/>
      <c r="J22" s="633">
        <v>2.712794366666667</v>
      </c>
      <c r="K22" s="632">
        <v>1.0840233333333331</v>
      </c>
      <c r="L22" s="633">
        <v>4.5868040333333342</v>
      </c>
      <c r="N22" s="82"/>
    </row>
    <row r="23" spans="1:14">
      <c r="A23" s="631" t="s">
        <v>28</v>
      </c>
      <c r="B23" s="632">
        <v>9.0399999999999991</v>
      </c>
      <c r="C23" s="633">
        <v>0</v>
      </c>
      <c r="D23" s="633">
        <v>0</v>
      </c>
      <c r="E23" s="632">
        <v>0</v>
      </c>
      <c r="F23" s="632">
        <f t="shared" si="0"/>
        <v>6.95</v>
      </c>
      <c r="G23" s="632">
        <f t="shared" si="1"/>
        <v>9.0399999999999991</v>
      </c>
      <c r="H23" s="632">
        <v>5.7123333333333335</v>
      </c>
      <c r="I23" s="634"/>
      <c r="J23" s="633">
        <v>0</v>
      </c>
      <c r="K23" s="632">
        <v>6.95</v>
      </c>
      <c r="L23" s="633">
        <v>2.09</v>
      </c>
      <c r="N23" s="82"/>
    </row>
    <row r="24" spans="1:14">
      <c r="A24" s="631" t="s">
        <v>473</v>
      </c>
      <c r="B24" s="632">
        <v>9.5299999999999994</v>
      </c>
      <c r="C24" s="633">
        <v>1.4012500000000001</v>
      </c>
      <c r="D24" s="633">
        <v>1.121</v>
      </c>
      <c r="E24" s="632">
        <v>0.28025</v>
      </c>
      <c r="F24" s="632">
        <f t="shared" si="0"/>
        <v>7.6209999999999996</v>
      </c>
      <c r="G24" s="632">
        <f t="shared" si="1"/>
        <v>9.5309999999999988</v>
      </c>
      <c r="H24" s="632">
        <v>6.2726666666666677</v>
      </c>
      <c r="I24" s="634"/>
      <c r="J24" s="633">
        <v>1.4012500000000001</v>
      </c>
      <c r="K24" s="632">
        <v>6.2197499999999994</v>
      </c>
      <c r="L24" s="633">
        <v>1.91</v>
      </c>
    </row>
    <row r="25" spans="1:14">
      <c r="A25" s="631" t="s">
        <v>142</v>
      </c>
      <c r="B25" s="632">
        <v>9.6129318999999995</v>
      </c>
      <c r="C25" s="633">
        <v>2.1258979</v>
      </c>
      <c r="D25" s="633">
        <v>1.7715815833333335</v>
      </c>
      <c r="E25" s="632">
        <v>0.35431631666666674</v>
      </c>
      <c r="F25" s="632">
        <f t="shared" si="0"/>
        <v>8.0107765833333335</v>
      </c>
      <c r="G25" s="632">
        <f t="shared" si="1"/>
        <v>9.6129318999999995</v>
      </c>
      <c r="H25" s="632">
        <v>4.5830000000000002</v>
      </c>
      <c r="I25" s="634"/>
      <c r="J25" s="633">
        <v>2.1258979</v>
      </c>
      <c r="K25" s="632">
        <v>5.8848786833333335</v>
      </c>
      <c r="L25" s="633">
        <v>1.6021553166666669</v>
      </c>
    </row>
    <row r="26" spans="1:14">
      <c r="A26" s="631" t="s">
        <v>140</v>
      </c>
      <c r="B26" s="632">
        <v>10.03168</v>
      </c>
      <c r="C26" s="633">
        <v>5.3800799999999995</v>
      </c>
      <c r="D26" s="633">
        <v>4.6379999999999999</v>
      </c>
      <c r="E26" s="632">
        <v>0.74207999999999996</v>
      </c>
      <c r="F26" s="632">
        <f t="shared" si="0"/>
        <v>8.6479999999999997</v>
      </c>
      <c r="G26" s="632">
        <f t="shared" si="1"/>
        <v>10.03168</v>
      </c>
      <c r="H26" s="632">
        <v>5.72</v>
      </c>
      <c r="I26" s="634"/>
      <c r="J26" s="633">
        <v>5.3800799999999995</v>
      </c>
      <c r="K26" s="632">
        <v>3.2679200000000002</v>
      </c>
      <c r="L26" s="633">
        <v>1.38368</v>
      </c>
    </row>
    <row r="27" spans="1:14">
      <c r="A27" s="631" t="s">
        <v>127</v>
      </c>
      <c r="B27" s="632">
        <v>10.559999999999999</v>
      </c>
      <c r="C27" s="633">
        <v>4.9800000000000004</v>
      </c>
      <c r="D27" s="633">
        <v>4.53</v>
      </c>
      <c r="E27" s="632">
        <v>0.45</v>
      </c>
      <c r="F27" s="632">
        <f t="shared" si="0"/>
        <v>6.6</v>
      </c>
      <c r="G27" s="632">
        <f t="shared" si="1"/>
        <v>10.559999999999999</v>
      </c>
      <c r="H27" s="632">
        <v>6.2761666666666667</v>
      </c>
      <c r="I27" s="634"/>
      <c r="J27" s="633">
        <v>4.9800000000000004</v>
      </c>
      <c r="K27" s="632">
        <v>1.6199999999999992</v>
      </c>
      <c r="L27" s="633">
        <v>3.96</v>
      </c>
    </row>
    <row r="28" spans="1:14">
      <c r="A28" s="631" t="s">
        <v>236</v>
      </c>
      <c r="B28" s="632">
        <v>11.982589919999997</v>
      </c>
      <c r="C28" s="633">
        <v>2.95012512</v>
      </c>
      <c r="D28" s="633">
        <v>2.7315973333333332</v>
      </c>
      <c r="E28" s="632">
        <v>0.21852778666666667</v>
      </c>
      <c r="F28" s="632">
        <f t="shared" si="0"/>
        <v>11.094990666666664</v>
      </c>
      <c r="G28" s="632">
        <f t="shared" si="1"/>
        <v>11.982589919999997</v>
      </c>
      <c r="H28" s="632">
        <v>7.3737163500000005</v>
      </c>
      <c r="I28" s="634"/>
      <c r="J28" s="633">
        <v>2.95012512</v>
      </c>
      <c r="K28" s="632">
        <v>8.1448655466666651</v>
      </c>
      <c r="L28" s="633">
        <v>0.88759925333333334</v>
      </c>
    </row>
    <row r="29" spans="1:14">
      <c r="A29" s="631" t="s">
        <v>234</v>
      </c>
      <c r="B29" s="632">
        <v>12.072666666666668</v>
      </c>
      <c r="C29" s="633">
        <v>1.2576666666666665</v>
      </c>
      <c r="D29" s="633">
        <v>1.2576666666666665</v>
      </c>
      <c r="E29" s="632">
        <v>0</v>
      </c>
      <c r="F29" s="632">
        <f t="shared" si="0"/>
        <v>12.072666666666668</v>
      </c>
      <c r="G29" s="632">
        <f t="shared" si="1"/>
        <v>12.072666666666668</v>
      </c>
      <c r="H29" s="632">
        <v>5.78</v>
      </c>
      <c r="I29" s="634"/>
      <c r="J29" s="633">
        <v>1.2576666666666665</v>
      </c>
      <c r="K29" s="632">
        <v>10.815000000000001</v>
      </c>
      <c r="L29" s="633">
        <v>0</v>
      </c>
    </row>
    <row r="30" spans="1:14">
      <c r="A30" s="631" t="s">
        <v>36</v>
      </c>
      <c r="B30" s="632">
        <v>12.21</v>
      </c>
      <c r="C30" s="635">
        <v>2.62</v>
      </c>
      <c r="D30" s="635">
        <v>1.98</v>
      </c>
      <c r="E30" s="636">
        <v>0.64</v>
      </c>
      <c r="F30" s="632">
        <f t="shared" si="0"/>
        <v>9.2100000000000009</v>
      </c>
      <c r="G30" s="632">
        <f t="shared" si="1"/>
        <v>12.21</v>
      </c>
      <c r="H30" s="632">
        <v>10.846666666666668</v>
      </c>
      <c r="I30" s="634"/>
      <c r="J30" s="635">
        <v>2.62</v>
      </c>
      <c r="K30" s="632">
        <v>6.59</v>
      </c>
      <c r="L30" s="635">
        <v>3</v>
      </c>
    </row>
    <row r="31" spans="1:14">
      <c r="A31" s="631" t="s">
        <v>139</v>
      </c>
      <c r="B31" s="632">
        <v>13.244399999999999</v>
      </c>
      <c r="C31" s="633">
        <v>2.0773333333333333</v>
      </c>
      <c r="D31" s="633">
        <v>2.0773333333333333</v>
      </c>
      <c r="E31" s="632">
        <v>0</v>
      </c>
      <c r="F31" s="632">
        <f t="shared" si="0"/>
        <v>11.7</v>
      </c>
      <c r="G31" s="632">
        <f t="shared" si="1"/>
        <v>13.244399999999999</v>
      </c>
      <c r="H31" s="632">
        <v>10.285229648000001</v>
      </c>
      <c r="I31" s="634"/>
      <c r="J31" s="633">
        <v>2.0773333333333333</v>
      </c>
      <c r="K31" s="632">
        <v>9.6226666666666656</v>
      </c>
      <c r="L31" s="633">
        <v>1.5444</v>
      </c>
    </row>
    <row r="32" spans="1:14">
      <c r="A32" s="631" t="s">
        <v>474</v>
      </c>
      <c r="B32" s="632">
        <v>13.332401599999999</v>
      </c>
      <c r="C32" s="633">
        <v>2.0626427733333332</v>
      </c>
      <c r="D32" s="633">
        <v>1.8416453333333331</v>
      </c>
      <c r="E32" s="632">
        <v>0.22099743999999996</v>
      </c>
      <c r="F32" s="632">
        <f t="shared" si="0"/>
        <v>11.903929999999999</v>
      </c>
      <c r="G32" s="632">
        <f t="shared" si="1"/>
        <v>13.332401599999999</v>
      </c>
      <c r="H32" s="632">
        <v>11.034640654000002</v>
      </c>
      <c r="I32" s="634"/>
      <c r="J32" s="633">
        <v>2.0626427733333332</v>
      </c>
      <c r="K32" s="632">
        <v>9.8412872266666653</v>
      </c>
      <c r="L32" s="633">
        <v>1.4284715999999997</v>
      </c>
    </row>
    <row r="33" spans="1:12">
      <c r="A33" s="631" t="s">
        <v>85</v>
      </c>
      <c r="B33" s="632">
        <v>14.586133333333333</v>
      </c>
      <c r="C33" s="633">
        <v>4.4527999999999999</v>
      </c>
      <c r="D33" s="633">
        <v>2.4186666666666667</v>
      </c>
      <c r="E33" s="632">
        <v>2.0341333333333331</v>
      </c>
      <c r="F33" s="632">
        <f t="shared" si="0"/>
        <v>7.7519999999999989</v>
      </c>
      <c r="G33" s="632">
        <f t="shared" si="1"/>
        <v>14.586133333333333</v>
      </c>
      <c r="H33" s="632">
        <v>13.420333333333334</v>
      </c>
      <c r="I33" s="634"/>
      <c r="J33" s="633">
        <v>4.4527999999999999</v>
      </c>
      <c r="K33" s="632">
        <v>3.299199999999999</v>
      </c>
      <c r="L33" s="633">
        <v>6.8341333333333329</v>
      </c>
    </row>
    <row r="34" spans="1:12">
      <c r="A34" s="631" t="s">
        <v>87</v>
      </c>
      <c r="B34" s="632">
        <v>14.937666666666667</v>
      </c>
      <c r="C34" s="633">
        <v>1.8109999999999999</v>
      </c>
      <c r="D34" s="633">
        <v>1.8109999999999999</v>
      </c>
      <c r="E34" s="632">
        <v>0</v>
      </c>
      <c r="F34" s="632">
        <f t="shared" si="0"/>
        <v>14.937666666666667</v>
      </c>
      <c r="G34" s="632">
        <f t="shared" si="1"/>
        <v>14.937666666666667</v>
      </c>
      <c r="H34" s="632">
        <v>11.560666666666666</v>
      </c>
      <c r="I34" s="634"/>
      <c r="J34" s="633">
        <v>1.8109999999999999</v>
      </c>
      <c r="K34" s="632">
        <v>13.126666666666667</v>
      </c>
      <c r="L34" s="633">
        <v>0</v>
      </c>
    </row>
    <row r="35" spans="1:12">
      <c r="A35" s="631" t="s">
        <v>6</v>
      </c>
      <c r="B35" s="632">
        <v>16.890866666666668</v>
      </c>
      <c r="C35" s="633">
        <v>9.6968666666666667</v>
      </c>
      <c r="D35" s="633">
        <v>8.8153333333333332</v>
      </c>
      <c r="E35" s="632">
        <v>0.88153333333333339</v>
      </c>
      <c r="F35" s="632">
        <f t="shared" si="0"/>
        <v>15.355333333333332</v>
      </c>
      <c r="G35" s="632">
        <f t="shared" si="1"/>
        <v>16.890866666666668</v>
      </c>
      <c r="H35" s="632">
        <v>14.286333333333335</v>
      </c>
      <c r="I35" s="634"/>
      <c r="J35" s="633">
        <v>9.6968666666666667</v>
      </c>
      <c r="K35" s="632">
        <v>5.6584666666666656</v>
      </c>
      <c r="L35" s="633">
        <v>1.5355333333333334</v>
      </c>
    </row>
    <row r="36" spans="1:12">
      <c r="A36" s="631" t="s">
        <v>110</v>
      </c>
      <c r="B36" s="632">
        <v>21.336933333333331</v>
      </c>
      <c r="C36" s="633">
        <v>6.0567999999999991</v>
      </c>
      <c r="D36" s="633">
        <v>5.0473333333333326</v>
      </c>
      <c r="E36" s="632">
        <v>1.0094666666666665</v>
      </c>
      <c r="F36" s="632">
        <f t="shared" si="0"/>
        <v>15.240666666666664</v>
      </c>
      <c r="G36" s="632">
        <f t="shared" si="1"/>
        <v>21.336933333333331</v>
      </c>
      <c r="H36" s="632">
        <v>11.85</v>
      </c>
      <c r="I36" s="634"/>
      <c r="J36" s="633">
        <v>6.0567999999999991</v>
      </c>
      <c r="K36" s="632">
        <v>9.1838666666666651</v>
      </c>
      <c r="L36" s="633">
        <v>6.0962666666666658</v>
      </c>
    </row>
    <row r="37" spans="1:12">
      <c r="G37" s="634">
        <f>+G36+F36+C36</f>
        <v>42.634399999999999</v>
      </c>
    </row>
    <row r="41" spans="1:12">
      <c r="I41" s="535">
        <f>4.58*1.25</f>
        <v>5.7249999999999996</v>
      </c>
      <c r="J41" s="634">
        <f>I42-F62</f>
        <v>2.6020000000000003</v>
      </c>
    </row>
    <row r="42" spans="1:12" ht="15.75">
      <c r="A42" s="1424" t="s">
        <v>459</v>
      </c>
      <c r="B42" s="1425"/>
      <c r="C42" s="1425"/>
      <c r="D42" s="1425"/>
      <c r="E42" s="1425"/>
      <c r="F42" s="1425"/>
      <c r="I42" s="535">
        <f>215.55/30</f>
        <v>7.1850000000000005</v>
      </c>
      <c r="J42" s="535">
        <f>I42/1.25</f>
        <v>5.7480000000000002</v>
      </c>
    </row>
    <row r="43" spans="1:12">
      <c r="K43" s="535">
        <f>173.56/30</f>
        <v>5.785333333333333</v>
      </c>
    </row>
    <row r="44" spans="1:12" ht="51">
      <c r="A44" s="626" t="s">
        <v>460</v>
      </c>
      <c r="B44" s="627" t="s">
        <v>461</v>
      </c>
      <c r="C44" s="627" t="s">
        <v>462</v>
      </c>
      <c r="D44" s="627" t="s">
        <v>463</v>
      </c>
      <c r="E44" s="627" t="s">
        <v>464</v>
      </c>
      <c r="F44" s="627" t="s">
        <v>465</v>
      </c>
      <c r="G44" s="627" t="s">
        <v>466</v>
      </c>
      <c r="H44" s="627" t="s">
        <v>467</v>
      </c>
    </row>
    <row r="45" spans="1:12">
      <c r="A45" s="638" t="s">
        <v>25</v>
      </c>
      <c r="B45" s="632">
        <f t="shared" ref="B45:B55" si="2">C45+F45+G45</f>
        <v>1.26</v>
      </c>
      <c r="C45" s="633"/>
      <c r="D45" s="633"/>
      <c r="E45" s="632"/>
      <c r="F45" s="632">
        <f>1.26*60/60</f>
        <v>1.26</v>
      </c>
      <c r="G45" s="632"/>
      <c r="H45" s="632">
        <f t="shared" ref="H45:H52" si="3">F45+C45</f>
        <v>1.26</v>
      </c>
      <c r="I45" s="535">
        <f>103+2*40</f>
        <v>183</v>
      </c>
      <c r="J45" s="535">
        <f>I45/60</f>
        <v>3.05</v>
      </c>
    </row>
    <row r="46" spans="1:12">
      <c r="A46" s="638" t="s">
        <v>9</v>
      </c>
      <c r="B46" s="632">
        <f t="shared" si="2"/>
        <v>1.6</v>
      </c>
      <c r="C46" s="632">
        <f>D46+E46</f>
        <v>0.16666666666666666</v>
      </c>
      <c r="D46" s="632">
        <f>5/30</f>
        <v>0.16666666666666666</v>
      </c>
      <c r="E46" s="635"/>
      <c r="F46" s="632">
        <f>30*1.6/30-C46</f>
        <v>1.4333333333333333</v>
      </c>
      <c r="G46" s="635"/>
      <c r="H46" s="632">
        <f t="shared" si="3"/>
        <v>1.6</v>
      </c>
    </row>
    <row r="47" spans="1:12">
      <c r="A47" s="638" t="s">
        <v>28</v>
      </c>
      <c r="B47" s="632">
        <f t="shared" si="2"/>
        <v>2.4700000000000002</v>
      </c>
      <c r="C47" s="633"/>
      <c r="D47" s="636"/>
      <c r="E47" s="636"/>
      <c r="F47" s="633">
        <v>2.4700000000000002</v>
      </c>
      <c r="G47" s="632"/>
      <c r="H47" s="632">
        <f t="shared" si="3"/>
        <v>2.4700000000000002</v>
      </c>
      <c r="I47" s="535">
        <v>2.4700000000000002</v>
      </c>
    </row>
    <row r="48" spans="1:12">
      <c r="A48" s="638" t="s">
        <v>14</v>
      </c>
      <c r="B48" s="632">
        <f t="shared" si="2"/>
        <v>4.9473333333333338</v>
      </c>
      <c r="C48" s="633">
        <f>D48+E48</f>
        <v>0.26066666666666666</v>
      </c>
      <c r="D48" s="633">
        <f>15.64/60</f>
        <v>0.26066666666666666</v>
      </c>
      <c r="E48" s="632"/>
      <c r="F48" s="632">
        <f>(200.34+10*9.65)/60-D48</f>
        <v>4.6866666666666674</v>
      </c>
      <c r="G48" s="632"/>
      <c r="H48" s="632">
        <f t="shared" si="3"/>
        <v>4.9473333333333338</v>
      </c>
    </row>
    <row r="49" spans="1:15">
      <c r="A49" s="638" t="s">
        <v>81</v>
      </c>
      <c r="B49" s="632">
        <f t="shared" si="2"/>
        <v>3.4706666666666663</v>
      </c>
      <c r="C49" s="633">
        <f>D49+E49</f>
        <v>1.0706666666666667</v>
      </c>
      <c r="D49" s="632">
        <f>32.12/30</f>
        <v>1.0706666666666667</v>
      </c>
      <c r="E49" s="636"/>
      <c r="F49" s="633">
        <f>(2.1*5+2.82*5+3.12*10+3.24*5)/30</f>
        <v>2.4</v>
      </c>
      <c r="G49" s="632"/>
      <c r="H49" s="632">
        <f t="shared" si="3"/>
        <v>3.4706666666666663</v>
      </c>
    </row>
    <row r="50" spans="1:15">
      <c r="A50" s="638" t="s">
        <v>468</v>
      </c>
      <c r="B50" s="632">
        <f t="shared" si="2"/>
        <v>3.7213333333333334</v>
      </c>
      <c r="C50" s="632">
        <f>D50+E50</f>
        <v>1.0796666666666668</v>
      </c>
      <c r="D50" s="632">
        <f>32.39/30</f>
        <v>1.0796666666666668</v>
      </c>
      <c r="E50" s="635"/>
      <c r="F50" s="632">
        <f>(5*3.48+5*3.7+5*4.26+5*4.41)/30</f>
        <v>2.6416666666666666</v>
      </c>
      <c r="G50" s="635"/>
      <c r="H50" s="632">
        <f t="shared" si="3"/>
        <v>3.7213333333333334</v>
      </c>
      <c r="I50" s="535" t="s">
        <v>475</v>
      </c>
    </row>
    <row r="51" spans="1:15">
      <c r="A51" s="638" t="s">
        <v>237</v>
      </c>
      <c r="B51" s="632">
        <f t="shared" si="2"/>
        <v>3.71</v>
      </c>
      <c r="C51" s="633">
        <f>SUM(D51:D51:E51)</f>
        <v>1.49</v>
      </c>
      <c r="D51" s="633">
        <v>1.49</v>
      </c>
      <c r="E51" s="632"/>
      <c r="F51" s="632">
        <v>1.74</v>
      </c>
      <c r="G51" s="632">
        <v>0.48</v>
      </c>
      <c r="H51" s="632">
        <f t="shared" si="3"/>
        <v>3.23</v>
      </c>
      <c r="I51" s="535" t="s">
        <v>476</v>
      </c>
    </row>
    <row r="52" spans="1:15">
      <c r="A52" s="638" t="s">
        <v>86</v>
      </c>
      <c r="B52" s="632">
        <f t="shared" si="2"/>
        <v>4.3100000000000005</v>
      </c>
      <c r="C52" s="633">
        <f>D52+E52</f>
        <v>0.8666666666666667</v>
      </c>
      <c r="D52" s="633">
        <f>52/60</f>
        <v>0.8666666666666667</v>
      </c>
      <c r="E52" s="636"/>
      <c r="F52" s="633">
        <f>3.83-C52</f>
        <v>2.9633333333333334</v>
      </c>
      <c r="G52" s="632">
        <v>0.48</v>
      </c>
      <c r="H52" s="632">
        <f t="shared" si="3"/>
        <v>3.83</v>
      </c>
      <c r="J52" s="535">
        <f>0.004*54.8</f>
        <v>0.21920000000000001</v>
      </c>
    </row>
    <row r="53" spans="1:15">
      <c r="A53" s="638" t="s">
        <v>11</v>
      </c>
      <c r="B53" s="632">
        <f t="shared" si="2"/>
        <v>5.0357190000000003</v>
      </c>
      <c r="C53" s="632">
        <f>D53+E53</f>
        <v>2.6250700333333334</v>
      </c>
      <c r="D53" s="632">
        <f>1.04438*51.95/30</f>
        <v>1.8085180333333335</v>
      </c>
      <c r="E53" s="632">
        <f>(49.5*0.4685+49.5*0.02638)/30</f>
        <v>0.81655200000000006</v>
      </c>
      <c r="F53" s="632">
        <f>(1.04438*49.5+0.08024*49.5*15)/30-D53</f>
        <v>1.9006489666666668</v>
      </c>
      <c r="G53" s="632">
        <v>0.51</v>
      </c>
      <c r="H53" s="632">
        <f>F53+D53</f>
        <v>3.7091670000000003</v>
      </c>
      <c r="K53" s="535">
        <v>15</v>
      </c>
      <c r="L53" s="535">
        <v>1.0443800000000001</v>
      </c>
      <c r="M53" s="535">
        <v>51.95</v>
      </c>
      <c r="N53" s="634">
        <f>L53*M53</f>
        <v>54.255541000000008</v>
      </c>
      <c r="O53" s="634">
        <f>N53/30</f>
        <v>1.8085180333333335</v>
      </c>
    </row>
    <row r="54" spans="1:15">
      <c r="A54" s="638" t="s">
        <v>469</v>
      </c>
      <c r="B54" s="632">
        <f t="shared" si="2"/>
        <v>4.8910499999999999</v>
      </c>
      <c r="C54" s="633">
        <f>D54+E54</f>
        <v>1.1380000000000001</v>
      </c>
      <c r="D54" s="633">
        <f>34.14/30</f>
        <v>1.1380000000000001</v>
      </c>
      <c r="E54" s="632"/>
      <c r="F54" s="632">
        <f>(5*2.88+15*4.01)/30</f>
        <v>2.4849999999999999</v>
      </c>
      <c r="G54" s="632">
        <f>H54*0.35</f>
        <v>1.2680499999999999</v>
      </c>
      <c r="H54" s="632">
        <f t="shared" ref="H54:H64" si="4">F54+C54</f>
        <v>3.6230000000000002</v>
      </c>
      <c r="K54" s="535">
        <v>5</v>
      </c>
      <c r="L54" s="535">
        <v>7.2929999999999995E-2</v>
      </c>
      <c r="M54" s="535">
        <v>51.95</v>
      </c>
      <c r="N54" s="634">
        <f>K54*L54*M54</f>
        <v>18.9435675</v>
      </c>
      <c r="O54" s="634">
        <f>N58-O53</f>
        <v>1.988299666666667</v>
      </c>
    </row>
    <row r="55" spans="1:15">
      <c r="A55" s="638" t="s">
        <v>470</v>
      </c>
      <c r="B55" s="632">
        <f t="shared" si="2"/>
        <v>4.9997590500000006</v>
      </c>
      <c r="C55" s="633">
        <f>D55+E55</f>
        <v>1.3874850000000001</v>
      </c>
      <c r="D55" s="632">
        <f>(0.8409*49.5)/30</f>
        <v>1.3874850000000001</v>
      </c>
      <c r="E55" s="636"/>
      <c r="F55" s="633">
        <f>((0.8409+1.044+1.057)*49.5)/30-C55</f>
        <v>3.4666500000000005</v>
      </c>
      <c r="G55" s="632">
        <f>0.03*H55</f>
        <v>0.14562405</v>
      </c>
      <c r="H55" s="632">
        <f t="shared" si="4"/>
        <v>4.8541350000000003</v>
      </c>
      <c r="J55" s="634"/>
      <c r="K55" s="535">
        <v>5</v>
      </c>
      <c r="L55" s="535">
        <v>7.6469999999999996E-2</v>
      </c>
      <c r="M55" s="535">
        <v>51.95</v>
      </c>
      <c r="N55" s="634">
        <f>K55*L55*M55</f>
        <v>19.863082500000001</v>
      </c>
    </row>
    <row r="56" spans="1:15">
      <c r="A56" s="638" t="s">
        <v>85</v>
      </c>
      <c r="B56" s="632">
        <v>4.91</v>
      </c>
      <c r="C56" s="633">
        <v>0.28000000000000003</v>
      </c>
      <c r="D56" s="633"/>
      <c r="E56" s="632"/>
      <c r="F56" s="632">
        <v>3.65</v>
      </c>
      <c r="G56" s="632">
        <v>0.98</v>
      </c>
      <c r="H56" s="632">
        <f t="shared" si="4"/>
        <v>3.9299999999999997</v>
      </c>
      <c r="I56" s="535" t="s">
        <v>477</v>
      </c>
      <c r="K56" s="535">
        <v>5</v>
      </c>
      <c r="L56" s="535">
        <v>8.0240000000000006E-2</v>
      </c>
      <c r="M56" s="535">
        <v>51.95</v>
      </c>
      <c r="N56" s="634">
        <f>K56*L56*M56</f>
        <v>20.84234</v>
      </c>
    </row>
    <row r="57" spans="1:15">
      <c r="A57" s="638" t="s">
        <v>126</v>
      </c>
      <c r="B57" s="632">
        <f t="shared" ref="B57:B62" si="5">C57+F57+G57</f>
        <v>5.3436666666666666</v>
      </c>
      <c r="C57" s="633"/>
      <c r="D57" s="633"/>
      <c r="E57" s="632"/>
      <c r="F57" s="632">
        <f>157.31/30</f>
        <v>5.2436666666666669</v>
      </c>
      <c r="G57" s="632">
        <v>0.1</v>
      </c>
      <c r="H57" s="632">
        <f t="shared" si="4"/>
        <v>5.2436666666666669</v>
      </c>
      <c r="N57" s="634">
        <f>SUM(N53:N56)</f>
        <v>113.90453100000002</v>
      </c>
    </row>
    <row r="58" spans="1:15">
      <c r="A58" s="638" t="s">
        <v>471</v>
      </c>
      <c r="B58" s="632">
        <f t="shared" si="5"/>
        <v>6.7804783200000003</v>
      </c>
      <c r="C58" s="633">
        <f>D58+E58</f>
        <v>6.0191999999999997</v>
      </c>
      <c r="D58" s="633">
        <f>49.5*30.4*0.004</f>
        <v>6.0191999999999997</v>
      </c>
      <c r="E58" s="632"/>
      <c r="F58" s="632">
        <f>49.5*30.4*0.0041-C58</f>
        <v>0.15048000000000084</v>
      </c>
      <c r="G58" s="632">
        <f>H58*0.099</f>
        <v>0.61079832000000012</v>
      </c>
      <c r="H58" s="632">
        <f t="shared" si="4"/>
        <v>6.1696800000000005</v>
      </c>
      <c r="N58" s="634">
        <f>N57/30</f>
        <v>3.7968177000000005</v>
      </c>
    </row>
    <row r="59" spans="1:15">
      <c r="A59" s="638" t="s">
        <v>145</v>
      </c>
      <c r="B59" s="632">
        <f t="shared" si="5"/>
        <v>5.7853333333333339</v>
      </c>
      <c r="C59" s="632">
        <f>D59+E59</f>
        <v>1.4493333333333331</v>
      </c>
      <c r="D59" s="632">
        <f>43.48/30</f>
        <v>1.4493333333333331</v>
      </c>
      <c r="E59" s="635"/>
      <c r="F59" s="632">
        <f>(108.86+6.47*10)/30-D59</f>
        <v>4.3360000000000003</v>
      </c>
      <c r="G59" s="635"/>
      <c r="H59" s="632">
        <f t="shared" si="4"/>
        <v>5.7853333333333339</v>
      </c>
    </row>
    <row r="60" spans="1:15">
      <c r="A60" s="638" t="s">
        <v>125</v>
      </c>
      <c r="B60" s="632">
        <f t="shared" si="5"/>
        <v>5.7853333333333339</v>
      </c>
      <c r="C60" s="632">
        <f>D60+E60</f>
        <v>1.4493333333333331</v>
      </c>
      <c r="D60" s="632">
        <f>43.48/30</f>
        <v>1.4493333333333331</v>
      </c>
      <c r="E60" s="635"/>
      <c r="F60" s="632">
        <f>(108.86+10*6.47)/30-D60</f>
        <v>4.3360000000000003</v>
      </c>
      <c r="G60" s="635"/>
      <c r="H60" s="632">
        <f t="shared" si="4"/>
        <v>5.7853333333333339</v>
      </c>
    </row>
    <row r="61" spans="1:15">
      <c r="A61" s="638" t="s">
        <v>137</v>
      </c>
      <c r="B61" s="632">
        <f t="shared" si="5"/>
        <v>6.17</v>
      </c>
      <c r="C61" s="633">
        <f>D61+E61</f>
        <v>2.8200000000000003</v>
      </c>
      <c r="D61" s="633">
        <v>2.16</v>
      </c>
      <c r="E61" s="637">
        <v>0.66</v>
      </c>
      <c r="F61" s="632">
        <f>3.03-C61</f>
        <v>0.20999999999999952</v>
      </c>
      <c r="G61" s="632">
        <f>2.22+0.92</f>
        <v>3.14</v>
      </c>
      <c r="H61" s="632">
        <f t="shared" si="4"/>
        <v>3.03</v>
      </c>
      <c r="K61" s="634"/>
      <c r="L61" s="634"/>
      <c r="M61" s="634"/>
    </row>
    <row r="62" spans="1:15">
      <c r="A62" s="638" t="s">
        <v>473</v>
      </c>
      <c r="B62" s="632">
        <f t="shared" si="5"/>
        <v>7.1829999999999998</v>
      </c>
      <c r="C62" s="633"/>
      <c r="D62" s="633"/>
      <c r="E62" s="632"/>
      <c r="F62" s="632">
        <f>137.49/30</f>
        <v>4.5830000000000002</v>
      </c>
      <c r="G62" s="632">
        <v>2.6</v>
      </c>
      <c r="H62" s="632">
        <f t="shared" si="4"/>
        <v>4.5830000000000002</v>
      </c>
      <c r="L62" s="634"/>
    </row>
    <row r="63" spans="1:15">
      <c r="A63" s="638" t="s">
        <v>472</v>
      </c>
      <c r="B63" s="632">
        <f>G63+F63+C63</f>
        <v>7.0039999999999996</v>
      </c>
      <c r="C63" s="633">
        <f>D63+E63</f>
        <v>2.1653333333333333</v>
      </c>
      <c r="D63" s="633">
        <f>51.97/30</f>
        <v>1.7323333333333333</v>
      </c>
      <c r="E63" s="632">
        <f>12.99/30</f>
        <v>0.433</v>
      </c>
      <c r="F63" s="632">
        <f>(51.97+58.3+61.1)/30-C63</f>
        <v>3.5470000000000002</v>
      </c>
      <c r="G63" s="632">
        <f>(12.99+10.46+15.3)/30</f>
        <v>1.2916666666666667</v>
      </c>
      <c r="H63" s="632">
        <f t="shared" si="4"/>
        <v>5.7123333333333335</v>
      </c>
      <c r="I63" s="535" t="s">
        <v>478</v>
      </c>
      <c r="K63" s="639"/>
      <c r="L63" s="639"/>
      <c r="M63" s="639"/>
      <c r="N63" s="634"/>
    </row>
    <row r="64" spans="1:15">
      <c r="A64" s="638" t="s">
        <v>235</v>
      </c>
      <c r="B64" s="632">
        <f>C64+F64+G64</f>
        <v>6.7481999999999998</v>
      </c>
      <c r="C64" s="632">
        <f>D64+E64</f>
        <v>0.55133333333333334</v>
      </c>
      <c r="D64" s="632">
        <f>16.54/30</f>
        <v>0.55133333333333334</v>
      </c>
      <c r="E64" s="632"/>
      <c r="F64" s="632">
        <f>4.89-C64</f>
        <v>4.3386666666666667</v>
      </c>
      <c r="G64" s="632">
        <f>(4.89*0.2)+(4.89*0.18)</f>
        <v>1.8581999999999999</v>
      </c>
      <c r="H64" s="632">
        <f t="shared" si="4"/>
        <v>4.8899999999999997</v>
      </c>
      <c r="J64" s="634"/>
    </row>
    <row r="65" spans="1:14">
      <c r="A65" s="638" t="s">
        <v>32</v>
      </c>
      <c r="B65" s="632">
        <f>C65+F65+G65</f>
        <v>7.7466666666666661</v>
      </c>
      <c r="C65" s="633">
        <f>D65+E65</f>
        <v>4.0666666666666664</v>
      </c>
      <c r="D65" s="633">
        <f>212.17/60</f>
        <v>3.5361666666666665</v>
      </c>
      <c r="E65" s="632">
        <f>31.83/60</f>
        <v>0.53049999999999997</v>
      </c>
      <c r="F65" s="632">
        <f>(212.17+5.48*30)/60-D65</f>
        <v>2.74</v>
      </c>
      <c r="G65" s="632">
        <v>0.94</v>
      </c>
      <c r="H65" s="632">
        <f>F65+D65</f>
        <v>6.2761666666666667</v>
      </c>
      <c r="I65" s="535" t="s">
        <v>479</v>
      </c>
    </row>
    <row r="66" spans="1:14">
      <c r="A66" s="638" t="s">
        <v>140</v>
      </c>
      <c r="B66" s="632">
        <f>C66+F66+G66</f>
        <v>7.1508400000000014</v>
      </c>
      <c r="C66" s="633">
        <f>D66+E66</f>
        <v>1.8593333333333333</v>
      </c>
      <c r="D66" s="633">
        <f>55.78/30</f>
        <v>1.8593333333333333</v>
      </c>
      <c r="E66" s="632"/>
      <c r="F66" s="632">
        <f>(55.78+6.62*20)/30-C66</f>
        <v>4.413333333333334</v>
      </c>
      <c r="G66" s="632">
        <f>H66*0.14</f>
        <v>0.87817333333333358</v>
      </c>
      <c r="H66" s="632">
        <f t="shared" ref="H66:H76" si="6">F66+C66</f>
        <v>6.2726666666666677</v>
      </c>
      <c r="I66" s="535">
        <f>55.58+6.61*20</f>
        <v>187.78000000000003</v>
      </c>
      <c r="J66" s="634">
        <f>I66/30</f>
        <v>6.2593333333333341</v>
      </c>
      <c r="K66" s="634">
        <f>9.4/1.4</f>
        <v>6.7142857142857153</v>
      </c>
    </row>
    <row r="67" spans="1:14">
      <c r="A67" s="638" t="s">
        <v>36</v>
      </c>
      <c r="B67" s="632">
        <f>F67+G67</f>
        <v>7.64</v>
      </c>
      <c r="C67" s="633"/>
      <c r="D67" s="633"/>
      <c r="E67" s="632"/>
      <c r="F67" s="632">
        <v>5.72</v>
      </c>
      <c r="G67" s="632">
        <v>1.92</v>
      </c>
      <c r="H67" s="632">
        <f t="shared" si="6"/>
        <v>5.72</v>
      </c>
      <c r="I67" s="640" t="s">
        <v>480</v>
      </c>
      <c r="K67" s="535">
        <f>K66*1.4</f>
        <v>9.4</v>
      </c>
    </row>
    <row r="68" spans="1:14">
      <c r="A68" s="638" t="s">
        <v>127</v>
      </c>
      <c r="B68" s="632">
        <f>C68+F68+G68</f>
        <v>9.24</v>
      </c>
      <c r="C68" s="633">
        <f t="shared" ref="C68:C76" si="7">D68+E68</f>
        <v>0</v>
      </c>
      <c r="D68" s="633"/>
      <c r="E68" s="632"/>
      <c r="F68" s="632">
        <f>5.78*30/30</f>
        <v>5.78</v>
      </c>
      <c r="G68" s="632">
        <f>1.73*2</f>
        <v>3.46</v>
      </c>
      <c r="H68" s="632">
        <f t="shared" si="6"/>
        <v>5.78</v>
      </c>
    </row>
    <row r="69" spans="1:14">
      <c r="A69" s="638" t="s">
        <v>474</v>
      </c>
      <c r="B69" s="632">
        <f>C69+F69+G69</f>
        <v>12.358797532480002</v>
      </c>
      <c r="C69" s="633">
        <f t="shared" si="7"/>
        <v>1.7793559999999999</v>
      </c>
      <c r="D69" s="633">
        <f>54.8*1.9482/60</f>
        <v>1.7793559999999999</v>
      </c>
      <c r="E69" s="632"/>
      <c r="F69" s="632">
        <f>(52.59*8.1464+(60-45.01)*0.2964*52.59)/60-C69</f>
        <v>9.2552846540000022</v>
      </c>
      <c r="G69" s="632">
        <f>0.12*H69</f>
        <v>1.3241568784800002</v>
      </c>
      <c r="H69" s="632">
        <f t="shared" si="6"/>
        <v>11.034640654000002</v>
      </c>
      <c r="N69" s="634"/>
    </row>
    <row r="70" spans="1:14">
      <c r="A70" s="638" t="s">
        <v>236</v>
      </c>
      <c r="B70" s="632">
        <f>C70+F70+G70</f>
        <v>11.108048019840002</v>
      </c>
      <c r="C70" s="633">
        <f t="shared" si="7"/>
        <v>2.6392593333333334</v>
      </c>
      <c r="D70" s="633">
        <f>54.8*2.8897/60</f>
        <v>2.6392593333333334</v>
      </c>
      <c r="E70" s="632"/>
      <c r="F70" s="632">
        <f>(52.59*8.1848+(60-45.01)*0.2368*52.59)/60-D70</f>
        <v>7.645970314666668</v>
      </c>
      <c r="G70" s="632">
        <f>0.08*H70</f>
        <v>0.82281837184000017</v>
      </c>
      <c r="H70" s="632">
        <f t="shared" si="6"/>
        <v>10.285229648000001</v>
      </c>
    </row>
    <row r="71" spans="1:14">
      <c r="A71" s="638" t="s">
        <v>142</v>
      </c>
      <c r="B71" s="632">
        <f>C71+F71+G71</f>
        <v>8.8484596199999999</v>
      </c>
      <c r="C71" s="633">
        <f t="shared" si="7"/>
        <v>1.711665916666667</v>
      </c>
      <c r="D71" s="633">
        <f>51.95*1.9769/60</f>
        <v>1.711665916666667</v>
      </c>
      <c r="E71" s="632"/>
      <c r="F71" s="632">
        <f>(49.5*6.4465+(60-45.01)*0.1662*49.5)/60-D71</f>
        <v>5.6620504333333335</v>
      </c>
      <c r="G71" s="632">
        <f>H71*0.2</f>
        <v>1.4747432700000003</v>
      </c>
      <c r="H71" s="632">
        <f t="shared" si="6"/>
        <v>7.3737163500000005</v>
      </c>
    </row>
    <row r="72" spans="1:14">
      <c r="A72" s="638" t="s">
        <v>234</v>
      </c>
      <c r="B72" s="632">
        <f>F72+C72+G72</f>
        <v>10.846666666666668</v>
      </c>
      <c r="C72" s="635">
        <f t="shared" si="7"/>
        <v>1.1299999999999999</v>
      </c>
      <c r="D72" s="635">
        <f>33.9/30</f>
        <v>1.1299999999999999</v>
      </c>
      <c r="E72" s="636"/>
      <c r="F72" s="632">
        <f>(7.8*5+8.88*5+9.96*5+15.24*5+16.42*5)/30</f>
        <v>9.7166666666666686</v>
      </c>
      <c r="G72" s="636"/>
      <c r="H72" s="632">
        <f t="shared" si="6"/>
        <v>10.846666666666668</v>
      </c>
    </row>
    <row r="73" spans="1:14">
      <c r="A73" s="638" t="s">
        <v>139</v>
      </c>
      <c r="B73" s="632">
        <f>C73+F73+G73</f>
        <v>13.8728</v>
      </c>
      <c r="C73" s="633">
        <f t="shared" si="7"/>
        <v>2.0526666666666666</v>
      </c>
      <c r="D73" s="633">
        <f>61.58/30</f>
        <v>2.0526666666666666</v>
      </c>
      <c r="E73" s="632"/>
      <c r="F73" s="632">
        <f>346.82/30-C73</f>
        <v>9.5079999999999991</v>
      </c>
      <c r="G73" s="632">
        <f>H73*0.2</f>
        <v>2.3121333333333332</v>
      </c>
      <c r="H73" s="632">
        <f t="shared" si="6"/>
        <v>11.560666666666666</v>
      </c>
    </row>
    <row r="74" spans="1:14">
      <c r="A74" s="638" t="s">
        <v>87</v>
      </c>
      <c r="B74" s="632">
        <f>C74+F74</f>
        <v>13.420333333333334</v>
      </c>
      <c r="C74" s="633">
        <f t="shared" si="7"/>
        <v>1.627</v>
      </c>
      <c r="D74" s="633">
        <f>48.81/30</f>
        <v>1.627</v>
      </c>
      <c r="E74" s="632"/>
      <c r="F74" s="632">
        <f>(48.81+5*9.87+5*10.09+5*11.52+5*19.32+5*19.96)/30-C74</f>
        <v>11.793333333333333</v>
      </c>
      <c r="G74" s="632"/>
      <c r="H74" s="632">
        <f t="shared" si="6"/>
        <v>13.420333333333334</v>
      </c>
      <c r="J74" s="535">
        <f>60.5/8</f>
        <v>7.5625</v>
      </c>
    </row>
    <row r="75" spans="1:14">
      <c r="A75" s="638" t="s">
        <v>6</v>
      </c>
      <c r="B75" s="632">
        <f>C75+F75+G75</f>
        <v>15.714966666666669</v>
      </c>
      <c r="C75" s="633">
        <f t="shared" si="7"/>
        <v>6.3563333333333336</v>
      </c>
      <c r="D75" s="633">
        <f>190.69/30</f>
        <v>6.3563333333333336</v>
      </c>
      <c r="E75" s="632"/>
      <c r="F75" s="632">
        <f>(246.09+18.25*10)/30-D75</f>
        <v>7.9300000000000015</v>
      </c>
      <c r="G75" s="632">
        <f>H75*0.1</f>
        <v>1.4286333333333336</v>
      </c>
      <c r="H75" s="632">
        <f t="shared" si="6"/>
        <v>14.286333333333335</v>
      </c>
      <c r="J75" s="634"/>
      <c r="K75" s="634"/>
    </row>
    <row r="76" spans="1:14">
      <c r="A76" s="638" t="s">
        <v>110</v>
      </c>
      <c r="B76" s="632">
        <f>C76+F76+G76</f>
        <v>16.59</v>
      </c>
      <c r="C76" s="633">
        <f t="shared" si="7"/>
        <v>7.07</v>
      </c>
      <c r="D76" s="633">
        <v>5.05</v>
      </c>
      <c r="E76" s="632">
        <f>D76*0.4</f>
        <v>2.02</v>
      </c>
      <c r="F76" s="632">
        <f>11.85-C76</f>
        <v>4.7799999999999994</v>
      </c>
      <c r="G76" s="632">
        <f>H76*0.4</f>
        <v>4.74</v>
      </c>
      <c r="H76" s="632">
        <f t="shared" si="6"/>
        <v>11.85</v>
      </c>
    </row>
    <row r="77" spans="1:14">
      <c r="K77" s="634"/>
    </row>
    <row r="78" spans="1:14">
      <c r="H78" s="641"/>
    </row>
  </sheetData>
  <mergeCells count="2">
    <mergeCell ref="A2:F2"/>
    <mergeCell ref="A42:F42"/>
  </mergeCells>
  <pageMargins left="0.78740157480314965" right="0.78740157480314965" top="0.42" bottom="0.27" header="0" footer="0"/>
  <pageSetup paperSize="153" orientation="landscape" r:id="rId1"/>
  <headerFooter alignWithMargins="0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39" enableFormatConditionsCalculation="0">
    <tabColor theme="9" tint="-0.249977111117893"/>
    <pageSetUpPr fitToPage="1"/>
  </sheetPr>
  <dimension ref="A1:G46"/>
  <sheetViews>
    <sheetView showGridLines="0" zoomScaleSheetLayoutView="120" workbookViewId="0">
      <selection activeCell="H11" sqref="H11"/>
    </sheetView>
  </sheetViews>
  <sheetFormatPr baseColWidth="10" defaultRowHeight="12.75"/>
  <cols>
    <col min="1" max="1" width="1.85546875" customWidth="1"/>
    <col min="2" max="2" width="30.7109375" customWidth="1"/>
    <col min="3" max="3" width="18.7109375" hidden="1" customWidth="1"/>
    <col min="4" max="4" width="20.7109375" customWidth="1"/>
    <col min="5" max="5" width="1.7109375" customWidth="1"/>
  </cols>
  <sheetData>
    <row r="1" spans="1:7" s="46" customFormat="1" ht="11.25" customHeight="1">
      <c r="A1" s="261"/>
      <c r="B1" s="259"/>
      <c r="C1" s="259"/>
      <c r="D1" s="260"/>
      <c r="E1" s="258"/>
      <c r="F1" s="49"/>
    </row>
    <row r="2" spans="1:7" ht="33" customHeight="1" thickBot="1">
      <c r="A2" s="263"/>
      <c r="B2" s="1136" t="s">
        <v>485</v>
      </c>
      <c r="C2" s="1136"/>
      <c r="D2" s="1136"/>
      <c r="E2" s="263"/>
    </row>
    <row r="3" spans="1:7" ht="21" customHeight="1" thickBot="1">
      <c r="A3" s="263"/>
      <c r="B3" s="334" t="s">
        <v>48</v>
      </c>
      <c r="C3" s="334" t="s">
        <v>111</v>
      </c>
      <c r="D3" s="334" t="s">
        <v>186</v>
      </c>
      <c r="E3" s="263"/>
    </row>
    <row r="4" spans="1:7" ht="25.5" customHeight="1" thickBot="1">
      <c r="A4" s="263"/>
      <c r="B4" s="424" t="s">
        <v>49</v>
      </c>
      <c r="C4" s="395"/>
      <c r="D4" s="395">
        <v>36637.969378741356</v>
      </c>
      <c r="E4" s="263"/>
    </row>
    <row r="5" spans="1:7" ht="22.5" customHeight="1" thickBot="1">
      <c r="A5" s="263"/>
      <c r="B5" s="425" t="s">
        <v>50</v>
      </c>
      <c r="C5" s="398"/>
      <c r="D5" s="398">
        <v>27067.209558605948</v>
      </c>
      <c r="E5" s="263"/>
      <c r="F5" s="27"/>
      <c r="G5" s="27"/>
    </row>
    <row r="6" spans="1:7" ht="22.5" customHeight="1" thickBot="1">
      <c r="A6" s="263"/>
      <c r="B6" s="422" t="s">
        <v>62</v>
      </c>
      <c r="C6" s="397"/>
      <c r="D6" s="991">
        <v>9570.7598201354085</v>
      </c>
      <c r="E6" s="263"/>
    </row>
    <row r="7" spans="1:7" ht="24" customHeight="1">
      <c r="A7" s="263"/>
      <c r="B7" s="1426" t="s">
        <v>277</v>
      </c>
      <c r="C7" s="1426"/>
      <c r="D7" s="1426"/>
      <c r="E7" s="263"/>
    </row>
    <row r="8" spans="1:7" ht="9" customHeight="1">
      <c r="A8" s="263"/>
      <c r="B8" s="273"/>
      <c r="C8" s="273"/>
      <c r="D8" s="273"/>
      <c r="E8" s="263"/>
    </row>
    <row r="13" spans="1:7">
      <c r="C13" s="65" t="e">
        <v>#DIV/0!</v>
      </c>
    </row>
    <row r="21" spans="2:2">
      <c r="B21" s="237"/>
    </row>
    <row r="28" spans="2:2">
      <c r="B28" s="237"/>
    </row>
    <row r="31" spans="2:2">
      <c r="B31" s="235"/>
    </row>
    <row r="39" spans="2:2">
      <c r="B39" s="235"/>
    </row>
    <row r="46" spans="2:2">
      <c r="B46" s="242"/>
    </row>
  </sheetData>
  <sheetProtection password="CF4C" sheet="1" objects="1" scenarios="1"/>
  <customSheetViews>
    <customSheetView guid="{E9B43C8C-734F-433D-AD37-344F9303B5CC}" showPageBreaks="1" showGridLines="0" showRuler="0">
      <selection activeCell="G16" sqref="G16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1"/>
      <headerFooter alignWithMargins="0"/>
    </customSheetView>
    <customSheetView guid="{9BF398E0-33D8-4E64-94A2-9B7C822C8383}" showGridLines="0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2"/>
      <headerFooter alignWithMargins="0"/>
    </customSheetView>
    <customSheetView guid="{6DCFE324-2DF9-4BB0-88BD-A4AD316C7A9E}" showGridLines="0" hiddenColumns="1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3"/>
      <headerFooter alignWithMargins="0"/>
    </customSheetView>
    <customSheetView guid="{48A744A8-8180-4A3B-8108-49EF41816969}" showGridLines="0" hiddenColumns="1" showRuler="0">
      <selection activeCell="F6" sqref="F6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4"/>
      <headerFooter alignWithMargins="0"/>
    </customSheetView>
    <customSheetView guid="{9E220BD5-A526-40BD-8239-3A0461590922}" showGridLines="0" showRuler="0">
      <selection activeCell="G16" sqref="G16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5"/>
      <headerFooter alignWithMargins="0"/>
    </customSheetView>
  </customSheetViews>
  <mergeCells count="2">
    <mergeCell ref="B2:D2"/>
    <mergeCell ref="B7:D7"/>
  </mergeCells>
  <phoneticPr fontId="9" type="noConversion"/>
  <printOptions horizontalCentered="1"/>
  <pageMargins left="0.19685039370078741" right="0.19685039370078741" top="0.59055118110236227" bottom="0.59055118110236227" header="0.39370078740157483" footer="0.39370078740157483"/>
  <pageSetup orientation="portrait" r:id="rId6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40" enableFormatConditionsCalculation="0">
    <tabColor theme="9" tint="-0.249977111117893"/>
    <pageSetUpPr fitToPage="1"/>
  </sheetPr>
  <dimension ref="A1:I47"/>
  <sheetViews>
    <sheetView showGridLines="0" workbookViewId="0">
      <selection activeCell="H9" sqref="H9"/>
    </sheetView>
  </sheetViews>
  <sheetFormatPr baseColWidth="10" defaultRowHeight="12.75"/>
  <cols>
    <col min="1" max="1" width="2.7109375" customWidth="1"/>
    <col min="2" max="2" width="30.7109375" customWidth="1"/>
    <col min="3" max="4" width="20.7109375" style="3" customWidth="1"/>
    <col min="5" max="5" width="2.7109375" customWidth="1"/>
  </cols>
  <sheetData>
    <row r="1" spans="1:9" ht="12" customHeight="1">
      <c r="A1" s="263"/>
      <c r="B1" s="263"/>
      <c r="C1" s="318"/>
      <c r="D1" s="318"/>
      <c r="E1" s="263"/>
    </row>
    <row r="2" spans="1:9" s="46" customFormat="1" ht="15" customHeight="1">
      <c r="A2" s="261"/>
      <c r="B2" s="1136" t="s">
        <v>395</v>
      </c>
      <c r="C2" s="1136"/>
      <c r="D2" s="1136"/>
      <c r="E2" s="332"/>
    </row>
    <row r="3" spans="1:9" ht="18.75" customHeight="1" thickBot="1">
      <c r="A3" s="263"/>
      <c r="B3" s="1136" t="s">
        <v>112</v>
      </c>
      <c r="C3" s="1136"/>
      <c r="D3" s="1136"/>
      <c r="E3" s="263"/>
    </row>
    <row r="4" spans="1:9" ht="18.75" customHeight="1" thickBot="1">
      <c r="A4" s="263"/>
      <c r="B4" s="1427" t="s">
        <v>230</v>
      </c>
      <c r="C4" s="1427" t="s">
        <v>360</v>
      </c>
      <c r="D4" s="1427" t="s">
        <v>361</v>
      </c>
      <c r="E4" s="263"/>
    </row>
    <row r="5" spans="1:9" ht="10.5" customHeight="1" thickBot="1">
      <c r="A5" s="263"/>
      <c r="B5" s="1427"/>
      <c r="C5" s="1427"/>
      <c r="D5" s="1427"/>
      <c r="E5" s="263"/>
    </row>
    <row r="6" spans="1:9" ht="15" customHeight="1" thickBot="1">
      <c r="A6" s="263"/>
      <c r="B6" s="424" t="s">
        <v>6</v>
      </c>
      <c r="C6" s="395">
        <v>569.12945805170887</v>
      </c>
      <c r="D6" s="395">
        <v>517.77964598846256</v>
      </c>
      <c r="E6" s="263"/>
      <c r="F6" s="71"/>
    </row>
    <row r="7" spans="1:9" ht="15" customHeight="1" thickBot="1">
      <c r="A7" s="263"/>
      <c r="B7" s="425" t="s">
        <v>7</v>
      </c>
      <c r="C7" s="398">
        <v>2945.0111975311011</v>
      </c>
      <c r="D7" s="398">
        <v>2474.5359608100071</v>
      </c>
      <c r="E7" s="263"/>
      <c r="F7" s="71"/>
    </row>
    <row r="8" spans="1:9" ht="15" customHeight="1" thickBot="1">
      <c r="A8" s="263"/>
      <c r="B8" s="424" t="s">
        <v>8</v>
      </c>
      <c r="C8" s="395">
        <v>285.08069578166732</v>
      </c>
      <c r="D8" s="395">
        <v>215.35793641762803</v>
      </c>
      <c r="E8" s="263"/>
      <c r="F8" s="71"/>
    </row>
    <row r="9" spans="1:9" ht="15" customHeight="1" thickBot="1">
      <c r="A9" s="263"/>
      <c r="B9" s="425" t="s">
        <v>9</v>
      </c>
      <c r="C9" s="398">
        <v>56.599293227903267</v>
      </c>
      <c r="D9" s="398">
        <v>33.118923135867142</v>
      </c>
      <c r="E9" s="263"/>
      <c r="F9" s="71"/>
    </row>
    <row r="10" spans="1:9" ht="15" customHeight="1" thickBot="1">
      <c r="A10" s="263"/>
      <c r="B10" s="424" t="s">
        <v>12</v>
      </c>
      <c r="C10" s="395">
        <v>756.25560057383154</v>
      </c>
      <c r="D10" s="395">
        <v>616.77053824698089</v>
      </c>
      <c r="E10" s="263"/>
      <c r="F10" s="71"/>
      <c r="I10">
        <v>6</v>
      </c>
    </row>
    <row r="11" spans="1:9" ht="15" customHeight="1" thickBot="1">
      <c r="A11" s="263"/>
      <c r="B11" s="425" t="s">
        <v>13</v>
      </c>
      <c r="C11" s="398">
        <v>1374.2623014422829</v>
      </c>
      <c r="D11" s="398">
        <v>1106.2110333373989</v>
      </c>
      <c r="E11" s="263"/>
      <c r="F11" s="71"/>
    </row>
    <row r="12" spans="1:9" ht="15" customHeight="1" thickBot="1">
      <c r="A12" s="263"/>
      <c r="B12" s="424" t="s">
        <v>223</v>
      </c>
      <c r="C12" s="395">
        <v>877.38549384322687</v>
      </c>
      <c r="D12" s="395">
        <v>750.82698124511978</v>
      </c>
      <c r="E12" s="263"/>
      <c r="F12" s="71"/>
    </row>
    <row r="13" spans="1:9" ht="15" customHeight="1" thickBot="1">
      <c r="A13" s="263"/>
      <c r="B13" s="425" t="s">
        <v>11</v>
      </c>
      <c r="C13" s="398">
        <v>238.42072986342538</v>
      </c>
      <c r="D13" s="398">
        <v>158.78091963097768</v>
      </c>
      <c r="E13" s="263"/>
      <c r="F13" s="71"/>
    </row>
    <row r="14" spans="1:9" ht="15" customHeight="1" thickBot="1">
      <c r="A14" s="263"/>
      <c r="B14" s="424" t="s">
        <v>14</v>
      </c>
      <c r="C14" s="395">
        <v>4622.0235571505782</v>
      </c>
      <c r="D14" s="395">
        <v>3625.469537566195</v>
      </c>
      <c r="E14" s="263"/>
      <c r="F14" s="71"/>
    </row>
    <row r="15" spans="1:9" ht="15" customHeight="1" thickBot="1">
      <c r="A15" s="263"/>
      <c r="B15" s="425" t="s">
        <v>15</v>
      </c>
      <c r="C15" s="398">
        <v>315.5750041613839</v>
      </c>
      <c r="D15" s="398">
        <v>268.86282978568647</v>
      </c>
      <c r="E15" s="263"/>
      <c r="F15" s="71"/>
    </row>
    <row r="16" spans="1:9" ht="15" customHeight="1" thickBot="1">
      <c r="A16" s="263"/>
      <c r="B16" s="424" t="s">
        <v>16</v>
      </c>
      <c r="C16" s="395">
        <v>1447.8474843596666</v>
      </c>
      <c r="D16" s="395">
        <v>1089.7026842611992</v>
      </c>
      <c r="E16" s="263"/>
      <c r="F16" s="71"/>
    </row>
    <row r="17" spans="1:6" ht="15" customHeight="1" thickBot="1">
      <c r="A17" s="263"/>
      <c r="B17" s="425" t="s">
        <v>17</v>
      </c>
      <c r="C17" s="398">
        <v>663.30107780198659</v>
      </c>
      <c r="D17" s="398">
        <v>548.54080065276298</v>
      </c>
      <c r="E17" s="263"/>
      <c r="F17" s="71"/>
    </row>
    <row r="18" spans="1:6" ht="15" customHeight="1" thickBot="1">
      <c r="A18" s="263"/>
      <c r="B18" s="424" t="s">
        <v>18</v>
      </c>
      <c r="C18" s="395">
        <v>823.52797472923157</v>
      </c>
      <c r="D18" s="395">
        <v>590.1611280528972</v>
      </c>
      <c r="E18" s="263"/>
      <c r="F18" s="71"/>
    </row>
    <row r="19" spans="1:6" ht="15" customHeight="1" thickBot="1">
      <c r="A19" s="263"/>
      <c r="B19" s="424" t="s">
        <v>19</v>
      </c>
      <c r="C19" s="395">
        <v>3122.5719852327079</v>
      </c>
      <c r="D19" s="395">
        <v>1864.9206619219212</v>
      </c>
      <c r="E19" s="263"/>
      <c r="F19" s="71"/>
    </row>
    <row r="20" spans="1:6" ht="15" customHeight="1" thickBot="1">
      <c r="A20" s="263"/>
      <c r="B20" s="425" t="s">
        <v>20</v>
      </c>
      <c r="C20" s="398">
        <v>5761.5577926762653</v>
      </c>
      <c r="D20" s="398">
        <v>3484.1341680865535</v>
      </c>
      <c r="E20" s="263"/>
      <c r="F20" s="71"/>
    </row>
    <row r="21" spans="1:6" ht="15" customHeight="1" thickBot="1">
      <c r="A21" s="263"/>
      <c r="B21" s="424" t="s">
        <v>224</v>
      </c>
      <c r="C21" s="395">
        <v>598.07940642034703</v>
      </c>
      <c r="D21" s="395">
        <v>401.05159232489984</v>
      </c>
      <c r="E21" s="263"/>
      <c r="F21" s="71"/>
    </row>
    <row r="22" spans="1:6" ht="15" customHeight="1" thickBot="1">
      <c r="A22" s="263"/>
      <c r="B22" s="425" t="s">
        <v>22</v>
      </c>
      <c r="C22" s="398">
        <v>431.78914372212483</v>
      </c>
      <c r="D22" s="398">
        <v>297.00757363368717</v>
      </c>
      <c r="E22" s="263"/>
      <c r="F22" s="71"/>
    </row>
    <row r="23" spans="1:6" ht="15" customHeight="1" thickBot="1">
      <c r="A23" s="263"/>
      <c r="B23" s="424" t="s">
        <v>23</v>
      </c>
      <c r="C23" s="395">
        <v>203.50922190237998</v>
      </c>
      <c r="D23" s="395">
        <v>125.60886403102938</v>
      </c>
      <c r="E23" s="263"/>
      <c r="F23" s="71"/>
    </row>
    <row r="24" spans="1:6" ht="15" customHeight="1" thickBot="1">
      <c r="A24" s="263"/>
      <c r="B24" s="425" t="s">
        <v>24</v>
      </c>
      <c r="C24" s="398">
        <v>2617.8627157514129</v>
      </c>
      <c r="D24" s="398">
        <v>2482.0188168993559</v>
      </c>
      <c r="E24" s="263"/>
      <c r="F24" s="71"/>
    </row>
    <row r="25" spans="1:6" ht="15" customHeight="1" thickBot="1">
      <c r="A25" s="263"/>
      <c r="B25" s="424" t="s">
        <v>25</v>
      </c>
      <c r="C25" s="395">
        <v>120.03600761469583</v>
      </c>
      <c r="D25" s="395">
        <v>100.13787917637755</v>
      </c>
      <c r="E25" s="263"/>
      <c r="F25" s="71"/>
    </row>
    <row r="26" spans="1:6" ht="15" customHeight="1" thickBot="1">
      <c r="A26" s="263"/>
      <c r="B26" s="425" t="s">
        <v>36</v>
      </c>
      <c r="C26" s="398">
        <v>1261.5336585631894</v>
      </c>
      <c r="D26" s="398">
        <v>766.64616069945305</v>
      </c>
      <c r="E26" s="263"/>
      <c r="F26" s="71"/>
    </row>
    <row r="27" spans="1:6" ht="15" customHeight="1" thickBot="1">
      <c r="A27" s="263"/>
      <c r="B27" s="424" t="s">
        <v>225</v>
      </c>
      <c r="C27" s="395">
        <v>565.31557797414985</v>
      </c>
      <c r="D27" s="395">
        <v>442.58709692909275</v>
      </c>
      <c r="E27" s="263"/>
      <c r="F27" s="71"/>
    </row>
    <row r="28" spans="1:6" ht="15" customHeight="1" thickBot="1">
      <c r="A28" s="263"/>
      <c r="B28" s="425" t="s">
        <v>27</v>
      </c>
      <c r="C28" s="398">
        <v>663.79571650774915</v>
      </c>
      <c r="D28" s="398">
        <v>561.56883232457778</v>
      </c>
      <c r="E28" s="263"/>
      <c r="F28" s="71"/>
    </row>
    <row r="29" spans="1:6" ht="15" customHeight="1" thickBot="1">
      <c r="A29" s="263"/>
      <c r="B29" s="424" t="s">
        <v>28</v>
      </c>
      <c r="C29" s="395">
        <v>411.09649375767032</v>
      </c>
      <c r="D29" s="395">
        <v>360.29442039720982</v>
      </c>
      <c r="E29" s="263"/>
      <c r="F29" s="71"/>
    </row>
    <row r="30" spans="1:6" ht="15" customHeight="1" thickBot="1">
      <c r="A30" s="263"/>
      <c r="B30" s="425" t="s">
        <v>29</v>
      </c>
      <c r="C30" s="398">
        <v>777.60519639953725</v>
      </c>
      <c r="D30" s="398">
        <v>620.69747996130013</v>
      </c>
      <c r="E30" s="263"/>
      <c r="F30" s="71"/>
    </row>
    <row r="31" spans="1:6" ht="15" customHeight="1" thickBot="1">
      <c r="A31" s="263"/>
      <c r="B31" s="424" t="s">
        <v>37</v>
      </c>
      <c r="C31" s="395">
        <v>1184.772047426748</v>
      </c>
      <c r="D31" s="395">
        <v>645.46904422865691</v>
      </c>
      <c r="E31" s="263"/>
      <c r="F31" s="71"/>
    </row>
    <row r="32" spans="1:6" ht="15" customHeight="1" thickBot="1">
      <c r="A32" s="263"/>
      <c r="B32" s="424" t="s">
        <v>30</v>
      </c>
      <c r="C32" s="395">
        <v>25.144446357224517</v>
      </c>
      <c r="D32" s="395">
        <v>17.498258469983099</v>
      </c>
      <c r="E32" s="263"/>
      <c r="F32" s="71"/>
    </row>
    <row r="33" spans="1:6" ht="15" customHeight="1" thickBot="1">
      <c r="A33" s="263"/>
      <c r="B33" s="425" t="s">
        <v>31</v>
      </c>
      <c r="C33" s="398">
        <v>1319.3246229068457</v>
      </c>
      <c r="D33" s="398">
        <v>997.81022923934211</v>
      </c>
      <c r="E33" s="263"/>
      <c r="F33" s="71"/>
    </row>
    <row r="34" spans="1:6" ht="15" customHeight="1" thickBot="1">
      <c r="A34" s="263"/>
      <c r="B34" s="424" t="s">
        <v>32</v>
      </c>
      <c r="C34" s="395">
        <v>352.74098945515414</v>
      </c>
      <c r="D34" s="395">
        <v>223.15918931748141</v>
      </c>
      <c r="E34" s="263"/>
      <c r="F34" s="71"/>
    </row>
    <row r="35" spans="1:6" ht="15" customHeight="1" thickBot="1">
      <c r="A35" s="263"/>
      <c r="B35" s="425" t="s">
        <v>262</v>
      </c>
      <c r="C35" s="398">
        <v>1620.4041301755449</v>
      </c>
      <c r="D35" s="398">
        <v>1172.6302270994729</v>
      </c>
      <c r="E35" s="263"/>
      <c r="F35" s="71"/>
    </row>
    <row r="36" spans="1:6" ht="15" customHeight="1" thickBot="1">
      <c r="A36" s="263"/>
      <c r="B36" s="424" t="s">
        <v>34</v>
      </c>
      <c r="C36" s="395">
        <v>305.91712490080351</v>
      </c>
      <c r="D36" s="395">
        <v>284.20040441610843</v>
      </c>
      <c r="E36" s="263"/>
      <c r="F36" s="71"/>
    </row>
    <row r="37" spans="1:6" ht="15" customHeight="1" thickBot="1">
      <c r="A37" s="263"/>
      <c r="B37" s="425" t="s">
        <v>35</v>
      </c>
      <c r="C37" s="398">
        <v>320.49323247881085</v>
      </c>
      <c r="D37" s="398">
        <v>223.64974031826074</v>
      </c>
      <c r="E37" s="263"/>
      <c r="F37" s="71"/>
    </row>
    <row r="38" spans="1:6" ht="18" customHeight="1" thickBot="1">
      <c r="A38" s="263"/>
      <c r="B38" s="422" t="s">
        <v>53</v>
      </c>
      <c r="C38" s="397">
        <v>36637.969378741356</v>
      </c>
      <c r="D38" s="397">
        <v>27067.209558605948</v>
      </c>
      <c r="E38" s="263"/>
      <c r="F38" s="27"/>
    </row>
    <row r="39" spans="1:6" ht="30" customHeight="1">
      <c r="A39" s="263"/>
      <c r="B39" s="1429" t="s">
        <v>646</v>
      </c>
      <c r="C39" s="1429"/>
      <c r="D39" s="1429"/>
      <c r="E39" s="324"/>
      <c r="F39" s="247"/>
    </row>
    <row r="40" spans="1:6" ht="30" customHeight="1">
      <c r="A40" s="263"/>
      <c r="B40" s="1428"/>
      <c r="C40" s="1428"/>
      <c r="D40" s="1428"/>
      <c r="E40" s="324"/>
      <c r="F40" s="247"/>
    </row>
    <row r="41" spans="1:6" ht="5.25" customHeight="1">
      <c r="A41" s="263"/>
      <c r="B41" s="273"/>
      <c r="C41" s="333"/>
      <c r="D41" s="333"/>
      <c r="E41" s="263"/>
    </row>
    <row r="42" spans="1:6">
      <c r="A42" s="263"/>
      <c r="B42" s="263"/>
      <c r="C42" s="318"/>
      <c r="D42" s="318"/>
      <c r="E42" s="263"/>
    </row>
    <row r="43" spans="1:6">
      <c r="C43" s="25"/>
      <c r="D43" s="20"/>
    </row>
    <row r="47" spans="1:6">
      <c r="B47" s="242"/>
    </row>
  </sheetData>
  <sheetProtection password="CF4C" sheet="1" objects="1" scenarios="1"/>
  <customSheetViews>
    <customSheetView guid="{E9B43C8C-734F-433D-AD37-344F9303B5CC}" showPageBreaks="1" showGridLines="0" showRuler="0">
      <pane ySplit="15.1" topLeftCell="A31" activePane="bottomLeft"/>
      <selection pane="bottomLeft" activeCell="F40" sqref="F40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1"/>
      <headerFooter alignWithMargins="0"/>
    </customSheetView>
    <customSheetView guid="{9BF398E0-33D8-4E64-94A2-9B7C822C8383}" showGridLines="0" showRuler="0">
      <selection sqref="A1:E1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2"/>
      <headerFooter alignWithMargins="0"/>
    </customSheetView>
    <customSheetView guid="{6DCFE324-2DF9-4BB0-88BD-A4AD316C7A9E}" showGridLines="0" showRuler="0">
      <pane ySplit="16" topLeftCell="A30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3"/>
      <headerFooter alignWithMargins="0"/>
    </customSheetView>
    <customSheetView guid="{48A744A8-8180-4A3B-8108-49EF41816969}" showGridLines="0" showRuler="0">
      <pane ySplit="15" topLeftCell="A36" activePane="bottomLeft"/>
      <selection pane="bottomLeft" activeCell="I40" sqref="I40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4"/>
      <headerFooter alignWithMargins="0"/>
    </customSheetView>
    <customSheetView guid="{9E220BD5-A526-40BD-8239-3A0461590922}" showGridLines="0" showRuler="0">
      <pane ySplit="15.1" topLeftCell="A31" activePane="bottomLeft"/>
      <selection pane="bottomLeft" activeCell="F40" sqref="F40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5"/>
      <headerFooter alignWithMargins="0"/>
    </customSheetView>
  </customSheetViews>
  <mergeCells count="7">
    <mergeCell ref="B4:B5"/>
    <mergeCell ref="B40:D40"/>
    <mergeCell ref="B2:D2"/>
    <mergeCell ref="C4:C5"/>
    <mergeCell ref="D4:D5"/>
    <mergeCell ref="B39:D39"/>
    <mergeCell ref="B3:D3"/>
  </mergeCells>
  <phoneticPr fontId="9" type="noConversion"/>
  <conditionalFormatting sqref="C6:D37">
    <cfRule type="cellIs" dxfId="13" priority="1" stopIfTrue="1" operator="greaterThan">
      <formula>#REF!</formula>
    </cfRule>
  </conditionalFormatting>
  <printOptions horizontalCentered="1"/>
  <pageMargins left="0.19685039370078741" right="0.19685039370078741" top="0.59055118110236227" bottom="0.59055118110236227" header="0.39370078740157483" footer="0.39370078740157483"/>
  <pageSetup orientation="portrait" r:id="rId6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41" enableFormatConditionsCalculation="0">
    <tabColor rgb="FFCC3399"/>
    <pageSetUpPr fitToPage="1"/>
  </sheetPr>
  <dimension ref="A1:K65"/>
  <sheetViews>
    <sheetView showGridLines="0" workbookViewId="0">
      <selection activeCell="I10" sqref="I10"/>
    </sheetView>
  </sheetViews>
  <sheetFormatPr baseColWidth="10" defaultRowHeight="12.75"/>
  <cols>
    <col min="1" max="1" width="1.85546875" customWidth="1"/>
    <col min="2" max="2" width="20.7109375" customWidth="1"/>
    <col min="3" max="4" width="15.7109375" style="33" customWidth="1"/>
    <col min="5" max="5" width="15.42578125" style="33" bestFit="1" customWidth="1"/>
    <col min="6" max="6" width="11.5703125" style="33" customWidth="1"/>
    <col min="7" max="7" width="14.85546875" style="33" customWidth="1"/>
    <col min="8" max="8" width="1.85546875" customWidth="1"/>
    <col min="9" max="9" width="17.7109375" bestFit="1" customWidth="1"/>
  </cols>
  <sheetData>
    <row r="1" spans="1:11" ht="12" customHeight="1">
      <c r="A1" s="263"/>
      <c r="B1" s="263"/>
      <c r="C1" s="336"/>
      <c r="D1" s="336"/>
      <c r="E1" s="336"/>
      <c r="F1" s="336"/>
      <c r="G1" s="336"/>
      <c r="H1" s="263"/>
    </row>
    <row r="2" spans="1:11" ht="15.75">
      <c r="A2" s="263"/>
      <c r="B2" s="1136" t="s">
        <v>271</v>
      </c>
      <c r="C2" s="1136"/>
      <c r="D2" s="1136"/>
      <c r="E2" s="1136"/>
      <c r="F2" s="1136"/>
      <c r="G2" s="1136"/>
      <c r="H2" s="263"/>
    </row>
    <row r="3" spans="1:11" ht="15.75" thickBot="1">
      <c r="A3" s="263"/>
      <c r="B3" s="419" t="s">
        <v>112</v>
      </c>
      <c r="C3" s="420"/>
      <c r="D3" s="420"/>
      <c r="E3" s="420"/>
      <c r="F3" s="420"/>
      <c r="G3" s="420"/>
      <c r="H3" s="263"/>
    </row>
    <row r="4" spans="1:11" ht="26.25" customHeight="1" thickBot="1">
      <c r="A4" s="263"/>
      <c r="B4" s="508" t="s">
        <v>230</v>
      </c>
      <c r="C4" s="509" t="s">
        <v>280</v>
      </c>
      <c r="D4" s="509" t="s">
        <v>281</v>
      </c>
      <c r="E4" s="509" t="s">
        <v>362</v>
      </c>
      <c r="F4" s="509" t="s">
        <v>363</v>
      </c>
      <c r="G4" s="508" t="s">
        <v>255</v>
      </c>
      <c r="H4" s="263"/>
    </row>
    <row r="5" spans="1:11" ht="15" customHeight="1" thickBot="1">
      <c r="A5" s="263"/>
      <c r="B5" s="424" t="s">
        <v>6</v>
      </c>
      <c r="C5" s="395">
        <v>81.000000020000002</v>
      </c>
      <c r="D5" s="395">
        <v>53.563614000000001</v>
      </c>
      <c r="E5" s="396">
        <v>10.412493</v>
      </c>
      <c r="F5" s="395">
        <v>22.433150189999999</v>
      </c>
      <c r="G5" s="395">
        <v>167.40925720999999</v>
      </c>
      <c r="H5" s="263"/>
      <c r="I5" s="42"/>
      <c r="J5" s="71"/>
      <c r="K5" s="71"/>
    </row>
    <row r="6" spans="1:11" ht="15" customHeight="1" thickBot="1">
      <c r="A6" s="263"/>
      <c r="B6" s="425" t="s">
        <v>7</v>
      </c>
      <c r="C6" s="398">
        <v>144.03079500000001</v>
      </c>
      <c r="D6" s="398">
        <v>6.9714150000000004</v>
      </c>
      <c r="E6" s="399">
        <v>0</v>
      </c>
      <c r="F6" s="398">
        <v>168.70995300000001</v>
      </c>
      <c r="G6" s="398">
        <v>319.71216300000003</v>
      </c>
      <c r="H6" s="263"/>
      <c r="I6" s="42"/>
      <c r="J6" s="71"/>
      <c r="K6" s="71"/>
    </row>
    <row r="7" spans="1:11" ht="15" customHeight="1" thickBot="1">
      <c r="A7" s="263"/>
      <c r="B7" s="424" t="s">
        <v>8</v>
      </c>
      <c r="C7" s="395">
        <v>111</v>
      </c>
      <c r="D7" s="395">
        <v>36.7744</v>
      </c>
      <c r="E7" s="396">
        <v>14.2064</v>
      </c>
      <c r="F7" s="395">
        <v>47.218423000000001</v>
      </c>
      <c r="G7" s="395">
        <v>209.19922300000002</v>
      </c>
      <c r="H7" s="263"/>
      <c r="I7" s="42"/>
      <c r="J7" s="71"/>
      <c r="K7" s="71"/>
    </row>
    <row r="8" spans="1:11" ht="15" customHeight="1" thickBot="1">
      <c r="A8" s="263"/>
      <c r="B8" s="425" t="s">
        <v>9</v>
      </c>
      <c r="C8" s="398">
        <v>110.61531803999999</v>
      </c>
      <c r="D8" s="398">
        <v>162.14668196</v>
      </c>
      <c r="E8" s="399">
        <v>1.238</v>
      </c>
      <c r="F8" s="398">
        <v>0</v>
      </c>
      <c r="G8" s="398">
        <v>274</v>
      </c>
      <c r="H8" s="263"/>
      <c r="I8" s="42"/>
      <c r="J8" s="71"/>
      <c r="K8" s="71"/>
    </row>
    <row r="9" spans="1:11" ht="15" customHeight="1" thickBot="1">
      <c r="A9" s="263"/>
      <c r="B9" s="424" t="s">
        <v>12</v>
      </c>
      <c r="C9" s="395">
        <v>170.60000000000002</v>
      </c>
      <c r="D9" s="395">
        <v>84.766113740000009</v>
      </c>
      <c r="E9" s="396">
        <v>95.868142080000013</v>
      </c>
      <c r="F9" s="395">
        <v>0</v>
      </c>
      <c r="G9" s="395">
        <v>351.23425582000004</v>
      </c>
      <c r="H9" s="263"/>
      <c r="I9" s="42"/>
      <c r="J9" s="71"/>
      <c r="K9" s="71"/>
    </row>
    <row r="10" spans="1:11" ht="15" customHeight="1" thickBot="1">
      <c r="A10" s="263"/>
      <c r="B10" s="425" t="s">
        <v>13</v>
      </c>
      <c r="C10" s="398">
        <v>150</v>
      </c>
      <c r="D10" s="398">
        <v>158.00985800000001</v>
      </c>
      <c r="E10" s="399">
        <v>0</v>
      </c>
      <c r="F10" s="398">
        <v>0</v>
      </c>
      <c r="G10" s="398">
        <v>308.00985800000001</v>
      </c>
      <c r="H10" s="263"/>
      <c r="I10" s="42"/>
      <c r="J10" s="71"/>
      <c r="K10" s="71"/>
    </row>
    <row r="11" spans="1:11" ht="15" customHeight="1" thickBot="1">
      <c r="A11" s="263"/>
      <c r="B11" s="424" t="s">
        <v>223</v>
      </c>
      <c r="C11" s="395">
        <v>133.654</v>
      </c>
      <c r="D11" s="395">
        <v>73.775182000000001</v>
      </c>
      <c r="E11" s="396">
        <v>70.028040000000004</v>
      </c>
      <c r="F11" s="395">
        <v>0</v>
      </c>
      <c r="G11" s="395">
        <v>277.457222</v>
      </c>
      <c r="H11" s="263"/>
      <c r="I11" s="42"/>
      <c r="J11" s="71"/>
      <c r="K11" s="71"/>
    </row>
    <row r="12" spans="1:11" ht="15" customHeight="1" thickBot="1">
      <c r="A12" s="263"/>
      <c r="B12" s="425" t="s">
        <v>11</v>
      </c>
      <c r="C12" s="398">
        <v>29.528167</v>
      </c>
      <c r="D12" s="398">
        <v>0.52901900000000002</v>
      </c>
      <c r="E12" s="399">
        <v>7.4724550000000001</v>
      </c>
      <c r="F12" s="398">
        <v>4.6672349999999998</v>
      </c>
      <c r="G12" s="398">
        <v>42.196875999999996</v>
      </c>
      <c r="H12" s="263"/>
      <c r="I12" s="42"/>
      <c r="J12" s="71"/>
      <c r="K12" s="71"/>
    </row>
    <row r="13" spans="1:11" ht="15" customHeight="1" thickBot="1">
      <c r="A13" s="263"/>
      <c r="B13" s="424" t="s">
        <v>14</v>
      </c>
      <c r="C13" s="395">
        <v>1019.99999725</v>
      </c>
      <c r="D13" s="395">
        <v>717.07369300000005</v>
      </c>
      <c r="E13" s="396">
        <v>0</v>
      </c>
      <c r="F13" s="395">
        <v>0</v>
      </c>
      <c r="G13" s="395">
        <v>1737.07369025</v>
      </c>
      <c r="H13" s="263"/>
      <c r="I13" s="42"/>
      <c r="J13" s="71"/>
      <c r="K13" s="71"/>
    </row>
    <row r="14" spans="1:11" ht="15" customHeight="1" thickBot="1">
      <c r="A14" s="263"/>
      <c r="B14" s="425" t="s">
        <v>15</v>
      </c>
      <c r="C14" s="398">
        <v>176.92400000000001</v>
      </c>
      <c r="D14" s="398">
        <v>90.828066000000007</v>
      </c>
      <c r="E14" s="399">
        <v>90.828063999999998</v>
      </c>
      <c r="F14" s="398">
        <v>0</v>
      </c>
      <c r="G14" s="398">
        <v>358.58013</v>
      </c>
      <c r="H14" s="263"/>
      <c r="I14" s="42"/>
      <c r="J14" s="71"/>
      <c r="K14" s="71"/>
    </row>
    <row r="15" spans="1:11" ht="15" customHeight="1" thickBot="1">
      <c r="A15" s="263"/>
      <c r="B15" s="424" t="s">
        <v>16</v>
      </c>
      <c r="C15" s="395">
        <v>197.3</v>
      </c>
      <c r="D15" s="395">
        <v>241.69105799999997</v>
      </c>
      <c r="E15" s="396">
        <v>0</v>
      </c>
      <c r="F15" s="395">
        <v>0</v>
      </c>
      <c r="G15" s="395">
        <v>438.99105799999995</v>
      </c>
      <c r="H15" s="263"/>
      <c r="I15" s="42"/>
      <c r="J15" s="71"/>
      <c r="K15" s="71"/>
    </row>
    <row r="16" spans="1:11" ht="15" customHeight="1" thickBot="1">
      <c r="A16" s="263"/>
      <c r="B16" s="425" t="s">
        <v>17</v>
      </c>
      <c r="C16" s="398">
        <v>292.89338062999991</v>
      </c>
      <c r="D16" s="398">
        <v>173.74401485999996</v>
      </c>
      <c r="E16" s="399">
        <v>46.2099495</v>
      </c>
      <c r="F16" s="398">
        <v>0</v>
      </c>
      <c r="G16" s="398">
        <v>512.8473449899999</v>
      </c>
      <c r="H16" s="263"/>
      <c r="I16" s="42"/>
      <c r="J16" s="71"/>
      <c r="K16" s="71"/>
    </row>
    <row r="17" spans="1:11" ht="15" customHeight="1" thickBot="1">
      <c r="A17" s="263"/>
      <c r="B17" s="424" t="s">
        <v>18</v>
      </c>
      <c r="C17" s="395">
        <v>100.27605482</v>
      </c>
      <c r="D17" s="395">
        <v>81.750389079999977</v>
      </c>
      <c r="E17" s="396">
        <v>13.300940000000001</v>
      </c>
      <c r="F17" s="395">
        <v>9.4572620000000001</v>
      </c>
      <c r="G17" s="395">
        <v>204.78464589999999</v>
      </c>
      <c r="H17" s="263"/>
      <c r="I17" s="42"/>
      <c r="J17" s="71"/>
      <c r="K17" s="71"/>
    </row>
    <row r="18" spans="1:11" ht="15" customHeight="1" thickBot="1">
      <c r="A18" s="263"/>
      <c r="B18" s="425" t="s">
        <v>19</v>
      </c>
      <c r="C18" s="398">
        <v>255.27799200000001</v>
      </c>
      <c r="D18" s="398">
        <v>295.39156700000001</v>
      </c>
      <c r="E18" s="399">
        <v>0</v>
      </c>
      <c r="F18" s="398">
        <v>0</v>
      </c>
      <c r="G18" s="398">
        <v>550.66955900000005</v>
      </c>
      <c r="H18" s="263"/>
      <c r="I18" s="42"/>
      <c r="J18" s="71"/>
      <c r="K18" s="71"/>
    </row>
    <row r="19" spans="1:11" ht="15" customHeight="1" thickBot="1">
      <c r="A19" s="263"/>
      <c r="B19" s="424" t="s">
        <v>20</v>
      </c>
      <c r="C19" s="395">
        <v>420</v>
      </c>
      <c r="D19" s="395">
        <v>474.06804699999998</v>
      </c>
      <c r="E19" s="396">
        <v>0</v>
      </c>
      <c r="F19" s="395">
        <v>0</v>
      </c>
      <c r="G19" s="395">
        <v>894.06804699999998</v>
      </c>
      <c r="H19" s="263"/>
      <c r="I19" s="42"/>
      <c r="J19" s="71"/>
      <c r="K19" s="71"/>
    </row>
    <row r="20" spans="1:11" ht="15" customHeight="1" thickBot="1">
      <c r="A20" s="263"/>
      <c r="B20" s="425" t="s">
        <v>224</v>
      </c>
      <c r="C20" s="398">
        <v>259.18777399999999</v>
      </c>
      <c r="D20" s="398">
        <v>80.221500000000006</v>
      </c>
      <c r="E20" s="399">
        <v>136.00818599999999</v>
      </c>
      <c r="F20" s="398">
        <v>4.125</v>
      </c>
      <c r="G20" s="398">
        <v>479.54246000000001</v>
      </c>
      <c r="H20" s="263"/>
      <c r="I20" s="42"/>
      <c r="J20" s="71"/>
      <c r="K20" s="71"/>
    </row>
    <row r="21" spans="1:11" ht="15" customHeight="1" thickBot="1">
      <c r="A21" s="263"/>
      <c r="B21" s="424" t="s">
        <v>22</v>
      </c>
      <c r="C21" s="395">
        <v>214.38874999999999</v>
      </c>
      <c r="D21" s="395">
        <v>202.187669</v>
      </c>
      <c r="E21" s="396">
        <v>14.251407</v>
      </c>
      <c r="F21" s="395">
        <v>0.57272999999999996</v>
      </c>
      <c r="G21" s="395">
        <v>431.40055599999994</v>
      </c>
      <c r="H21" s="263"/>
      <c r="I21" s="42"/>
      <c r="J21" s="71"/>
      <c r="K21" s="71"/>
    </row>
    <row r="22" spans="1:11" ht="15" customHeight="1" thickBot="1">
      <c r="A22" s="263"/>
      <c r="B22" s="425" t="s">
        <v>23</v>
      </c>
      <c r="C22" s="398">
        <v>61.959890000000001</v>
      </c>
      <c r="D22" s="398">
        <v>66.425504000000004</v>
      </c>
      <c r="E22" s="399">
        <v>0</v>
      </c>
      <c r="F22" s="398">
        <v>0</v>
      </c>
      <c r="G22" s="398">
        <v>128.38539400000002</v>
      </c>
      <c r="H22" s="263"/>
      <c r="I22" s="42"/>
      <c r="J22" s="71"/>
      <c r="K22" s="71"/>
    </row>
    <row r="23" spans="1:11" ht="15" customHeight="1" thickBot="1">
      <c r="A23" s="263"/>
      <c r="B23" s="424" t="s">
        <v>24</v>
      </c>
      <c r="C23" s="395">
        <v>259.77302100000003</v>
      </c>
      <c r="D23" s="395">
        <v>280.11629799999997</v>
      </c>
      <c r="E23" s="396">
        <v>47.661386999999998</v>
      </c>
      <c r="F23" s="395">
        <v>0</v>
      </c>
      <c r="G23" s="395">
        <v>587.55070599999999</v>
      </c>
      <c r="H23" s="263"/>
      <c r="I23" s="42"/>
      <c r="J23" s="71"/>
      <c r="K23" s="71"/>
    </row>
    <row r="24" spans="1:11" ht="15" customHeight="1" thickBot="1">
      <c r="A24" s="263"/>
      <c r="B24" s="425" t="s">
        <v>25</v>
      </c>
      <c r="C24" s="398">
        <v>105.35498069000002</v>
      </c>
      <c r="D24" s="398">
        <v>65.204982209999997</v>
      </c>
      <c r="E24" s="399">
        <v>51.180545959999996</v>
      </c>
      <c r="F24" s="398">
        <v>0</v>
      </c>
      <c r="G24" s="398">
        <v>221.74050886000001</v>
      </c>
      <c r="H24" s="263"/>
      <c r="I24" s="42"/>
      <c r="J24" s="71"/>
      <c r="K24" s="71"/>
    </row>
    <row r="25" spans="1:11" ht="15" customHeight="1" thickBot="1">
      <c r="A25" s="263"/>
      <c r="B25" s="424" t="s">
        <v>36</v>
      </c>
      <c r="C25" s="395">
        <v>47.319935560000005</v>
      </c>
      <c r="D25" s="395">
        <v>29.016801999999998</v>
      </c>
      <c r="E25" s="396">
        <v>11.314045</v>
      </c>
      <c r="F25" s="395">
        <v>1.998742</v>
      </c>
      <c r="G25" s="395">
        <v>89.649524560000003</v>
      </c>
      <c r="H25" s="263"/>
      <c r="I25" s="42"/>
      <c r="J25" s="71"/>
      <c r="K25" s="71"/>
    </row>
    <row r="26" spans="1:11" ht="15" customHeight="1" thickBot="1">
      <c r="A26" s="263"/>
      <c r="B26" s="425" t="s">
        <v>225</v>
      </c>
      <c r="C26" s="398">
        <v>5.0132785499999999</v>
      </c>
      <c r="D26" s="398">
        <v>0</v>
      </c>
      <c r="E26" s="399">
        <v>5.0132785499999999</v>
      </c>
      <c r="F26" s="398">
        <v>0</v>
      </c>
      <c r="G26" s="398">
        <v>10.0265571</v>
      </c>
      <c r="H26" s="263"/>
      <c r="I26" s="42"/>
      <c r="J26" s="71"/>
      <c r="K26" s="71"/>
    </row>
    <row r="27" spans="1:11" ht="15" customHeight="1" thickBot="1">
      <c r="A27" s="263"/>
      <c r="B27" s="424" t="s">
        <v>27</v>
      </c>
      <c r="C27" s="395">
        <v>92.39961962000001</v>
      </c>
      <c r="D27" s="395">
        <v>103.47582509</v>
      </c>
      <c r="E27" s="396">
        <v>0</v>
      </c>
      <c r="F27" s="395">
        <v>0</v>
      </c>
      <c r="G27" s="395">
        <v>195.87544471000001</v>
      </c>
      <c r="H27" s="263"/>
      <c r="I27" s="42"/>
      <c r="J27" s="71"/>
      <c r="K27" s="71"/>
    </row>
    <row r="28" spans="1:11" ht="15" customHeight="1" thickBot="1">
      <c r="A28" s="263"/>
      <c r="B28" s="425" t="s">
        <v>28</v>
      </c>
      <c r="C28" s="398">
        <v>48.897657000000002</v>
      </c>
      <c r="D28" s="398">
        <v>2.4878130000000001</v>
      </c>
      <c r="E28" s="399">
        <v>25.410478000000001</v>
      </c>
      <c r="F28" s="398">
        <v>32.539146000000002</v>
      </c>
      <c r="G28" s="398">
        <v>109.33509400000001</v>
      </c>
      <c r="H28" s="263"/>
      <c r="I28" s="42"/>
      <c r="J28" s="71"/>
      <c r="K28" s="71"/>
    </row>
    <row r="29" spans="1:11" ht="15" customHeight="1" thickBot="1">
      <c r="A29" s="263"/>
      <c r="B29" s="424" t="s">
        <v>29</v>
      </c>
      <c r="C29" s="395">
        <v>149.65863200000001</v>
      </c>
      <c r="D29" s="395">
        <v>111.282583</v>
      </c>
      <c r="E29" s="396">
        <v>53.084617000000001</v>
      </c>
      <c r="F29" s="395">
        <v>0</v>
      </c>
      <c r="G29" s="395">
        <v>314.02583199999998</v>
      </c>
      <c r="H29" s="263"/>
      <c r="I29" s="42"/>
      <c r="J29" s="71"/>
      <c r="K29" s="71"/>
    </row>
    <row r="30" spans="1:11" ht="15" customHeight="1" thickBot="1">
      <c r="A30" s="263"/>
      <c r="B30" s="425" t="s">
        <v>37</v>
      </c>
      <c r="C30" s="398">
        <v>101.138791</v>
      </c>
      <c r="D30" s="398">
        <v>54.600062000000001</v>
      </c>
      <c r="E30" s="399">
        <v>33.239879000000002</v>
      </c>
      <c r="F30" s="398">
        <v>31.527826000000001</v>
      </c>
      <c r="G30" s="398">
        <v>220.50655800000001</v>
      </c>
      <c r="H30" s="263"/>
      <c r="I30" s="42"/>
      <c r="J30" s="71"/>
      <c r="K30" s="71"/>
    </row>
    <row r="31" spans="1:11" ht="15" customHeight="1" thickBot="1">
      <c r="A31" s="263"/>
      <c r="B31" s="424" t="s">
        <v>30</v>
      </c>
      <c r="C31" s="395">
        <v>166.51170550000001</v>
      </c>
      <c r="D31" s="395">
        <v>80.626097999999999</v>
      </c>
      <c r="E31" s="396">
        <v>92.269351499999999</v>
      </c>
      <c r="F31" s="395">
        <v>0</v>
      </c>
      <c r="G31" s="395">
        <v>339.40715499999999</v>
      </c>
      <c r="H31" s="263"/>
      <c r="I31" s="42"/>
      <c r="J31" s="71"/>
      <c r="K31" s="71"/>
    </row>
    <row r="32" spans="1:11" ht="15" customHeight="1" thickBot="1">
      <c r="A32" s="263"/>
      <c r="B32" s="425" t="s">
        <v>31</v>
      </c>
      <c r="C32" s="398">
        <v>145.63683325</v>
      </c>
      <c r="D32" s="398">
        <v>137.16515258000001</v>
      </c>
      <c r="E32" s="399">
        <v>25.957077930000001</v>
      </c>
      <c r="F32" s="398">
        <v>6.3453480999999998</v>
      </c>
      <c r="G32" s="398">
        <v>315.10441186000008</v>
      </c>
      <c r="H32" s="263"/>
      <c r="I32" s="42"/>
      <c r="J32" s="71"/>
      <c r="K32" s="71"/>
    </row>
    <row r="33" spans="1:11" ht="15" customHeight="1" thickBot="1">
      <c r="A33" s="263"/>
      <c r="B33" s="424" t="s">
        <v>32</v>
      </c>
      <c r="C33" s="395">
        <v>23.322437020000002</v>
      </c>
      <c r="D33" s="395">
        <v>21.290987100000002</v>
      </c>
      <c r="E33" s="396">
        <v>0</v>
      </c>
      <c r="F33" s="395">
        <v>0</v>
      </c>
      <c r="G33" s="395">
        <v>44.613424120000005</v>
      </c>
      <c r="H33" s="263"/>
      <c r="I33" s="42"/>
      <c r="J33" s="71"/>
      <c r="K33" s="71"/>
    </row>
    <row r="34" spans="1:11" ht="15" customHeight="1" thickBot="1">
      <c r="A34" s="263"/>
      <c r="B34" s="425" t="s">
        <v>262</v>
      </c>
      <c r="C34" s="398">
        <v>263.48994386000004</v>
      </c>
      <c r="D34" s="398">
        <v>145.630601875</v>
      </c>
      <c r="E34" s="399">
        <v>167.93100692500002</v>
      </c>
      <c r="F34" s="398">
        <v>0</v>
      </c>
      <c r="G34" s="398">
        <v>577.05155266000008</v>
      </c>
      <c r="H34" s="263"/>
      <c r="I34" s="42"/>
      <c r="J34" s="71"/>
      <c r="K34" s="71"/>
    </row>
    <row r="35" spans="1:11" ht="15" customHeight="1" thickBot="1">
      <c r="A35" s="263"/>
      <c r="B35" s="424" t="s">
        <v>34</v>
      </c>
      <c r="C35" s="395">
        <v>71.511055529999993</v>
      </c>
      <c r="D35" s="395">
        <v>18.307392009999997</v>
      </c>
      <c r="E35" s="396">
        <v>24.178162740000001</v>
      </c>
      <c r="F35" s="395">
        <v>3.6344025099999997</v>
      </c>
      <c r="G35" s="395">
        <v>117.63101279</v>
      </c>
      <c r="H35" s="263"/>
      <c r="I35" s="42"/>
      <c r="J35" s="71"/>
      <c r="K35" s="71"/>
    </row>
    <row r="36" spans="1:11" ht="15" customHeight="1" thickBot="1">
      <c r="A36" s="263"/>
      <c r="B36" s="425" t="s">
        <v>35</v>
      </c>
      <c r="C36" s="398">
        <v>147.77344299999999</v>
      </c>
      <c r="D36" s="398">
        <v>143.09817029000001</v>
      </c>
      <c r="E36" s="399">
        <v>20.254214119999997</v>
      </c>
      <c r="F36" s="398">
        <v>0</v>
      </c>
      <c r="G36" s="398">
        <v>311.12582741</v>
      </c>
      <c r="H36" s="263"/>
      <c r="I36" s="42"/>
      <c r="J36" s="71"/>
      <c r="K36" s="71"/>
    </row>
    <row r="37" spans="1:11" ht="21" customHeight="1" thickBot="1">
      <c r="A37" s="263"/>
      <c r="B37" s="510" t="s">
        <v>54</v>
      </c>
      <c r="C37" s="397">
        <v>5556.4374523399983</v>
      </c>
      <c r="D37" s="397">
        <v>4192.2205587950002</v>
      </c>
      <c r="E37" s="397">
        <v>1057.3181203049999</v>
      </c>
      <c r="F37" s="397">
        <v>333.22921780000001</v>
      </c>
      <c r="G37" s="397">
        <v>11139.205349239999</v>
      </c>
      <c r="H37" s="263"/>
      <c r="I37" s="42"/>
      <c r="J37" s="42"/>
      <c r="K37" s="42"/>
    </row>
    <row r="38" spans="1:11">
      <c r="A38" s="263"/>
      <c r="B38" s="346" t="s">
        <v>364</v>
      </c>
      <c r="C38" s="269"/>
      <c r="D38" s="269"/>
      <c r="E38" s="269"/>
      <c r="F38" s="269"/>
      <c r="G38" s="337"/>
      <c r="H38" s="263"/>
    </row>
    <row r="39" spans="1:11">
      <c r="A39" s="263"/>
      <c r="B39" s="1430"/>
      <c r="C39" s="1431"/>
      <c r="D39" s="1431"/>
      <c r="E39" s="1431"/>
      <c r="F39" s="1431"/>
      <c r="G39" s="1431"/>
      <c r="H39" s="263"/>
    </row>
    <row r="40" spans="1:11">
      <c r="C40" s="39"/>
      <c r="D40" s="39"/>
      <c r="E40" s="39"/>
      <c r="F40" s="39"/>
      <c r="G40" s="39"/>
    </row>
    <row r="41" spans="1:11">
      <c r="B41" s="39"/>
      <c r="C41" s="39"/>
      <c r="D41" s="39"/>
      <c r="E41" s="39"/>
      <c r="F41" s="39"/>
      <c r="G41" s="39"/>
      <c r="H41" s="39"/>
      <c r="I41" s="39"/>
    </row>
    <row r="42" spans="1:11">
      <c r="B42" s="39"/>
      <c r="C42" s="39"/>
      <c r="D42" s="39"/>
      <c r="E42" s="39"/>
      <c r="F42" s="39"/>
      <c r="G42" s="39"/>
      <c r="H42" s="39"/>
      <c r="I42" s="39"/>
    </row>
    <row r="43" spans="1:11" ht="14.1" customHeight="1">
      <c r="B43" s="39"/>
      <c r="C43" s="39"/>
      <c r="D43" s="39"/>
      <c r="E43" s="39"/>
      <c r="F43" s="39"/>
      <c r="G43" s="39"/>
      <c r="H43" s="39"/>
      <c r="I43" s="39"/>
      <c r="J43" s="42"/>
      <c r="K43" s="42"/>
    </row>
    <row r="44" spans="1:11">
      <c r="B44" s="39"/>
      <c r="C44" s="39"/>
      <c r="D44" s="39"/>
      <c r="E44" s="39"/>
      <c r="F44" s="39"/>
      <c r="G44" s="39"/>
      <c r="H44" s="39"/>
      <c r="I44" s="39"/>
    </row>
    <row r="45" spans="1:11">
      <c r="C45" s="40"/>
      <c r="D45" s="41"/>
      <c r="E45" s="40"/>
      <c r="F45" s="195"/>
      <c r="G45" s="40"/>
      <c r="I45" s="196"/>
    </row>
    <row r="46" spans="1:11">
      <c r="B46" s="242"/>
      <c r="C46" s="40"/>
      <c r="D46" s="40"/>
      <c r="E46" s="40"/>
      <c r="F46" s="40"/>
      <c r="G46" s="40"/>
    </row>
    <row r="47" spans="1:11">
      <c r="C47" s="40"/>
      <c r="D47" s="40"/>
      <c r="E47" s="40"/>
      <c r="F47" s="40"/>
      <c r="G47" s="40"/>
    </row>
    <row r="48" spans="1:11">
      <c r="C48" s="40"/>
      <c r="D48" s="40"/>
      <c r="E48" s="40"/>
      <c r="F48" s="40"/>
      <c r="G48" s="40"/>
    </row>
    <row r="49" spans="3:7">
      <c r="C49" s="40"/>
      <c r="D49" s="40"/>
      <c r="E49" s="40"/>
      <c r="F49" s="40"/>
      <c r="G49" s="40"/>
    </row>
    <row r="50" spans="3:7">
      <c r="C50" s="40"/>
      <c r="D50" s="40"/>
      <c r="E50" s="40"/>
      <c r="F50" s="40"/>
      <c r="G50" s="40"/>
    </row>
    <row r="51" spans="3:7">
      <c r="C51" s="40"/>
      <c r="D51" s="40"/>
      <c r="E51" s="40"/>
      <c r="F51" s="40"/>
      <c r="G51" s="40"/>
    </row>
    <row r="52" spans="3:7">
      <c r="C52" s="39"/>
      <c r="D52" s="39"/>
      <c r="E52" s="39"/>
      <c r="F52" s="39"/>
      <c r="G52" s="39"/>
    </row>
    <row r="53" spans="3:7">
      <c r="C53" s="39"/>
      <c r="D53" s="39"/>
      <c r="E53" s="39"/>
      <c r="F53" s="39"/>
      <c r="G53" s="39"/>
    </row>
    <row r="54" spans="3:7">
      <c r="C54" s="39"/>
      <c r="D54" s="39"/>
      <c r="E54" s="39"/>
      <c r="F54" s="39"/>
      <c r="G54" s="39"/>
    </row>
    <row r="55" spans="3:7">
      <c r="C55" s="39"/>
      <c r="D55" s="39"/>
      <c r="E55" s="39"/>
      <c r="F55" s="39"/>
      <c r="G55" s="39"/>
    </row>
    <row r="56" spans="3:7">
      <c r="C56" s="39"/>
      <c r="D56" s="39"/>
      <c r="E56" s="39"/>
      <c r="F56" s="39"/>
      <c r="G56" s="39"/>
    </row>
    <row r="57" spans="3:7">
      <c r="C57" s="39"/>
      <c r="D57" s="39"/>
      <c r="E57" s="39"/>
      <c r="F57" s="39"/>
      <c r="G57" s="39"/>
    </row>
    <row r="58" spans="3:7">
      <c r="C58" s="39"/>
      <c r="D58" s="39"/>
      <c r="E58" s="39"/>
      <c r="F58" s="39"/>
      <c r="G58" s="39"/>
    </row>
    <row r="59" spans="3:7">
      <c r="C59" s="39"/>
      <c r="D59" s="39"/>
      <c r="E59" s="39"/>
      <c r="F59" s="39"/>
      <c r="G59" s="39"/>
    </row>
    <row r="60" spans="3:7">
      <c r="C60" s="39"/>
      <c r="D60" s="39"/>
      <c r="E60" s="39"/>
      <c r="F60" s="39"/>
      <c r="G60" s="39"/>
    </row>
    <row r="61" spans="3:7">
      <c r="C61" s="39"/>
      <c r="D61" s="39"/>
      <c r="E61" s="39"/>
      <c r="F61" s="39"/>
      <c r="G61" s="39"/>
    </row>
    <row r="62" spans="3:7">
      <c r="C62" s="39"/>
      <c r="D62" s="39"/>
      <c r="E62" s="39"/>
      <c r="F62" s="39"/>
      <c r="G62" s="39"/>
    </row>
    <row r="63" spans="3:7">
      <c r="C63" s="39"/>
      <c r="D63" s="39"/>
      <c r="E63" s="39"/>
      <c r="F63" s="39"/>
      <c r="G63" s="39"/>
    </row>
    <row r="64" spans="3:7">
      <c r="C64" s="39"/>
      <c r="D64" s="39"/>
      <c r="E64" s="39"/>
      <c r="F64" s="39"/>
      <c r="G64" s="39"/>
    </row>
    <row r="65" spans="3:7">
      <c r="C65" s="39"/>
      <c r="D65" s="39"/>
      <c r="E65" s="39"/>
      <c r="F65" s="39"/>
      <c r="G65" s="39"/>
    </row>
  </sheetData>
  <sheetProtection password="CF4C" sheet="1" objects="1" scenarios="1"/>
  <customSheetViews>
    <customSheetView guid="{E9B43C8C-734F-433D-AD37-344F9303B5CC}" showPageBreaks="1" showGridLines="0" showRuler="0">
      <pane ySplit="15" topLeftCell="A30" activePane="bottomLeft"/>
      <selection pane="bottomLeft" activeCell="E42" sqref="E42"/>
      <pageMargins left="0.59055118110236227" right="0.59055118110236227" top="0.78740157480314965" bottom="0.78740157480314965" header="0" footer="0"/>
      <printOptions horizontalCentered="1"/>
      <pageSetup orientation="portrait" r:id="rId1"/>
      <headerFooter alignWithMargins="0"/>
    </customSheetView>
    <customSheetView guid="{9BF398E0-33D8-4E64-94A2-9B7C822C8383}" showPageBreaks="1" showGridLines="0" hiddenColumns="1" showRuler="0">
      <pane xSplit="9.9250000000000007" ySplit="9.9" topLeftCell="I25"/>
      <pageMargins left="0.75" right="0.75" top="1" bottom="1" header="0" footer="0"/>
      <pageSetup orientation="portrait" r:id="rId2"/>
      <headerFooter alignWithMargins="0"/>
    </customSheetView>
    <customSheetView guid="{6DCFE324-2DF9-4BB0-88BD-A4AD316C7A9E}" showPageBreaks="1" showGridLines="0" printArea="1" hiddenColumns="1" showRuler="0">
      <pane ySplit="15" topLeftCell="A31"/>
      <pageMargins left="0.75" right="0.75" top="1" bottom="1" header="0" footer="0"/>
      <pageSetup orientation="portrait" r:id="rId3"/>
      <headerFooter alignWithMargins="0"/>
    </customSheetView>
    <customSheetView guid="{48A744A8-8180-4A3B-8108-49EF41816969}" showGridLines="0" hiddenRows="1" hiddenColumns="1" showRuler="0" topLeftCell="A34">
      <pane ySplit="16.411764705882351" topLeftCell="A38" activePane="bottomLeft"/>
      <selection pane="bottomLeft" activeCell="B42" sqref="B42"/>
      <pageMargins left="0.59055118110236227" right="0.59055118110236227" top="0.78740157480314965" bottom="0.78740157480314965" header="0" footer="0"/>
      <printOptions horizontalCentered="1"/>
      <pageSetup orientation="portrait" r:id="rId4"/>
      <headerFooter alignWithMargins="0"/>
    </customSheetView>
    <customSheetView guid="{9E220BD5-A526-40BD-8239-3A0461590922}" showGridLines="0" showRuler="0">
      <pane ySplit="15" topLeftCell="A30" activePane="bottomLeft"/>
      <selection pane="bottomLeft" activeCell="E42" sqref="E42"/>
      <pageMargins left="0.59055118110236227" right="0.59055118110236227" top="0.78740157480314965" bottom="0.78740157480314965" header="0" footer="0"/>
      <printOptions horizontalCentered="1"/>
      <pageSetup orientation="portrait" r:id="rId5"/>
      <headerFooter alignWithMargins="0"/>
    </customSheetView>
  </customSheetViews>
  <mergeCells count="2">
    <mergeCell ref="B39:G39"/>
    <mergeCell ref="B2:G2"/>
  </mergeCells>
  <phoneticPr fontId="9" type="noConversion"/>
  <printOptions horizontalCentered="1" verticalCentered="1"/>
  <pageMargins left="0.39370078740157483" right="0.39370078740157483" top="0.39370078740157483" bottom="0.39370078740157483" header="0" footer="0.39370078740157483"/>
  <pageSetup orientation="portrait" r:id="rId6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CC3399"/>
  </sheetPr>
  <dimension ref="A2:F19"/>
  <sheetViews>
    <sheetView showGridLines="0" workbookViewId="0">
      <selection activeCell="I12" sqref="I12"/>
    </sheetView>
  </sheetViews>
  <sheetFormatPr baseColWidth="10" defaultRowHeight="12.75"/>
  <cols>
    <col min="1" max="1" width="2.85546875" customWidth="1"/>
    <col min="2" max="2" width="36.7109375" customWidth="1"/>
    <col min="3" max="5" width="12.7109375" customWidth="1"/>
    <col min="6" max="6" width="2.7109375" customWidth="1"/>
  </cols>
  <sheetData>
    <row r="2" spans="1:6" ht="15.75">
      <c r="B2" s="1136" t="s">
        <v>272</v>
      </c>
      <c r="C2" s="1136"/>
      <c r="D2" s="1136"/>
      <c r="E2" s="1136"/>
    </row>
    <row r="3" spans="1:6" ht="15.75" thickBot="1">
      <c r="A3" s="263"/>
      <c r="B3" s="419" t="s">
        <v>112</v>
      </c>
      <c r="C3" s="420"/>
      <c r="D3" s="420"/>
      <c r="E3" s="420"/>
      <c r="F3" s="263"/>
    </row>
    <row r="4" spans="1:6" ht="15" customHeight="1" thickBot="1">
      <c r="A4" s="263"/>
      <c r="B4" s="1427" t="s">
        <v>240</v>
      </c>
      <c r="C4" s="1432" t="s">
        <v>239</v>
      </c>
      <c r="D4" s="1433"/>
      <c r="E4" s="1434"/>
      <c r="F4" s="263"/>
    </row>
    <row r="5" spans="1:6" ht="30" customHeight="1" thickBot="1">
      <c r="A5" s="263"/>
      <c r="B5" s="1427"/>
      <c r="C5" s="416" t="s">
        <v>254</v>
      </c>
      <c r="D5" s="416" t="s">
        <v>241</v>
      </c>
      <c r="E5" s="416" t="s">
        <v>255</v>
      </c>
      <c r="F5" s="263"/>
    </row>
    <row r="6" spans="1:6" ht="15" customHeight="1" thickBot="1">
      <c r="A6" s="263"/>
      <c r="B6" s="424" t="s">
        <v>249</v>
      </c>
      <c r="C6" s="395">
        <v>2</v>
      </c>
      <c r="D6" s="395">
        <v>3</v>
      </c>
      <c r="E6" s="395">
        <v>5</v>
      </c>
      <c r="F6" s="263"/>
    </row>
    <row r="7" spans="1:6" ht="15" customHeight="1" thickBot="1">
      <c r="A7" s="263"/>
      <c r="B7" s="425" t="s">
        <v>246</v>
      </c>
      <c r="C7" s="398">
        <v>8.5</v>
      </c>
      <c r="D7" s="398">
        <v>10.3</v>
      </c>
      <c r="E7" s="398">
        <v>18.8</v>
      </c>
      <c r="F7" s="263"/>
    </row>
    <row r="8" spans="1:6" ht="15" customHeight="1" thickBot="1">
      <c r="A8" s="263"/>
      <c r="B8" s="424" t="s">
        <v>244</v>
      </c>
      <c r="C8" s="395">
        <v>2.4</v>
      </c>
      <c r="D8" s="395">
        <v>2.5</v>
      </c>
      <c r="E8" s="395">
        <v>4.9000000000000004</v>
      </c>
      <c r="F8" s="263"/>
    </row>
    <row r="9" spans="1:6" ht="15" customHeight="1" thickBot="1">
      <c r="A9" s="263"/>
      <c r="B9" s="425" t="s">
        <v>251</v>
      </c>
      <c r="C9" s="398">
        <v>15</v>
      </c>
      <c r="D9" s="398">
        <v>22</v>
      </c>
      <c r="E9" s="398">
        <v>37</v>
      </c>
      <c r="F9" s="263"/>
    </row>
    <row r="10" spans="1:6" ht="15" customHeight="1" thickBot="1">
      <c r="A10" s="263"/>
      <c r="B10" s="424" t="s">
        <v>243</v>
      </c>
      <c r="C10" s="395">
        <v>11.7</v>
      </c>
      <c r="D10" s="395">
        <v>11.9</v>
      </c>
      <c r="E10" s="395">
        <v>23.6</v>
      </c>
      <c r="F10" s="263"/>
    </row>
    <row r="11" spans="1:6" ht="15" customHeight="1" thickBot="1">
      <c r="A11" s="263"/>
      <c r="B11" s="425" t="s">
        <v>253</v>
      </c>
      <c r="C11" s="398">
        <v>6</v>
      </c>
      <c r="D11" s="398">
        <v>6.1</v>
      </c>
      <c r="E11" s="398">
        <v>12.1</v>
      </c>
      <c r="F11" s="263"/>
    </row>
    <row r="12" spans="1:6" ht="15" customHeight="1" thickBot="1">
      <c r="A12" s="263"/>
      <c r="B12" s="424" t="s">
        <v>242</v>
      </c>
      <c r="C12" s="395">
        <v>11</v>
      </c>
      <c r="D12" s="395">
        <v>11.6</v>
      </c>
      <c r="E12" s="395">
        <v>22.6</v>
      </c>
      <c r="F12" s="263"/>
    </row>
    <row r="13" spans="1:6" ht="15" customHeight="1" thickBot="1">
      <c r="A13" s="263"/>
      <c r="B13" s="425" t="s">
        <v>245</v>
      </c>
      <c r="C13" s="398">
        <v>1.5</v>
      </c>
      <c r="D13" s="398">
        <v>1.6</v>
      </c>
      <c r="E13" s="398">
        <v>3.1</v>
      </c>
      <c r="F13" s="263"/>
    </row>
    <row r="14" spans="1:6" ht="15" customHeight="1" thickBot="1">
      <c r="A14" s="263"/>
      <c r="B14" s="424" t="s">
        <v>248</v>
      </c>
      <c r="C14" s="395">
        <v>6.1</v>
      </c>
      <c r="D14" s="395">
        <v>6.1</v>
      </c>
      <c r="E14" s="395">
        <v>12.2</v>
      </c>
      <c r="F14" s="263"/>
    </row>
    <row r="15" spans="1:6" ht="15" customHeight="1" thickBot="1">
      <c r="A15" s="263"/>
      <c r="B15" s="425" t="s">
        <v>252</v>
      </c>
      <c r="C15" s="398">
        <v>8</v>
      </c>
      <c r="D15" s="398">
        <v>9.3000000000000007</v>
      </c>
      <c r="E15" s="398">
        <v>17.3</v>
      </c>
      <c r="F15" s="263"/>
    </row>
    <row r="16" spans="1:6" ht="15" customHeight="1" thickBot="1">
      <c r="A16" s="263"/>
      <c r="B16" s="424" t="s">
        <v>247</v>
      </c>
      <c r="C16" s="395">
        <v>6.8</v>
      </c>
      <c r="D16" s="395">
        <v>10.199999999999999</v>
      </c>
      <c r="E16" s="395">
        <v>17</v>
      </c>
      <c r="F16" s="263"/>
    </row>
    <row r="17" spans="1:6" ht="15" customHeight="1" thickBot="1">
      <c r="A17" s="263"/>
      <c r="B17" s="425" t="s">
        <v>250</v>
      </c>
      <c r="C17" s="398">
        <v>3</v>
      </c>
      <c r="D17" s="398">
        <v>3</v>
      </c>
      <c r="E17" s="398">
        <v>6</v>
      </c>
      <c r="F17" s="263"/>
    </row>
    <row r="18" spans="1:6" ht="18" customHeight="1" thickBot="1">
      <c r="A18" s="263"/>
      <c r="B18" s="511" t="s">
        <v>54</v>
      </c>
      <c r="C18" s="512">
        <v>81.999999999999986</v>
      </c>
      <c r="D18" s="512">
        <v>97.59999999999998</v>
      </c>
      <c r="E18" s="512">
        <v>179.6</v>
      </c>
      <c r="F18" s="263"/>
    </row>
    <row r="19" spans="1:6">
      <c r="A19" s="263"/>
      <c r="B19" s="346" t="s">
        <v>365</v>
      </c>
      <c r="C19" s="263"/>
      <c r="D19" s="263"/>
      <c r="E19" s="263"/>
      <c r="F19" s="263"/>
    </row>
  </sheetData>
  <sheetProtection password="CF4C" sheet="1" objects="1" scenarios="1"/>
  <mergeCells count="3">
    <mergeCell ref="C4:E4"/>
    <mergeCell ref="B4:B5"/>
    <mergeCell ref="B2:E2"/>
  </mergeCells>
  <printOptions horizontalCentered="1"/>
  <pageMargins left="0.39370078740157483" right="0.39370078740157483" top="0.59055118110236227" bottom="0.59055118110236227" header="0.39370078740157483" footer="0.3937007874015748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enableFormatConditionsCalculation="0">
    <tabColor rgb="FFCC3399"/>
  </sheetPr>
  <dimension ref="A1:G46"/>
  <sheetViews>
    <sheetView showGridLines="0" workbookViewId="0">
      <selection activeCell="F8" sqref="F8"/>
    </sheetView>
  </sheetViews>
  <sheetFormatPr baseColWidth="10" defaultRowHeight="12.75"/>
  <cols>
    <col min="1" max="1" width="2.7109375" customWidth="1"/>
    <col min="2" max="2" width="24.7109375" customWidth="1"/>
    <col min="3" max="3" width="16.7109375" customWidth="1"/>
    <col min="4" max="4" width="2.7109375" customWidth="1"/>
  </cols>
  <sheetData>
    <row r="1" spans="1:7" ht="12" customHeight="1">
      <c r="A1" s="263"/>
      <c r="B1" s="263"/>
      <c r="C1" s="263"/>
      <c r="D1" s="263"/>
    </row>
    <row r="2" spans="1:7" ht="30" customHeight="1">
      <c r="A2" s="263"/>
      <c r="B2" s="1136" t="s">
        <v>579</v>
      </c>
      <c r="C2" s="1136"/>
      <c r="D2" s="263"/>
    </row>
    <row r="3" spans="1:7" ht="15" customHeight="1" thickBot="1">
      <c r="A3" s="263"/>
      <c r="B3" s="419" t="s">
        <v>112</v>
      </c>
      <c r="C3" s="420"/>
      <c r="D3" s="263"/>
    </row>
    <row r="4" spans="1:7" ht="23.25" customHeight="1" thickBot="1">
      <c r="A4" s="263"/>
      <c r="B4" s="416" t="s">
        <v>366</v>
      </c>
      <c r="C4" s="416" t="s">
        <v>367</v>
      </c>
      <c r="D4" s="263"/>
    </row>
    <row r="5" spans="1:7" ht="18" customHeight="1" thickBot="1">
      <c r="A5" s="263"/>
      <c r="B5" s="424" t="s">
        <v>118</v>
      </c>
      <c r="C5" s="395">
        <v>0</v>
      </c>
      <c r="D5" s="263"/>
    </row>
    <row r="6" spans="1:7" ht="18" customHeight="1" thickBot="1">
      <c r="A6" s="263"/>
      <c r="B6" s="425" t="s">
        <v>119</v>
      </c>
      <c r="C6" s="398">
        <v>0</v>
      </c>
      <c r="D6" s="263"/>
    </row>
    <row r="7" spans="1:7" ht="18" customHeight="1" thickBot="1">
      <c r="A7" s="263"/>
      <c r="B7" s="424" t="s">
        <v>120</v>
      </c>
      <c r="C7" s="395">
        <v>400.4</v>
      </c>
      <c r="D7" s="263"/>
    </row>
    <row r="8" spans="1:7" ht="18" customHeight="1" thickBot="1">
      <c r="A8" s="263"/>
      <c r="B8" s="425" t="s">
        <v>121</v>
      </c>
      <c r="C8" s="398">
        <v>1490.2</v>
      </c>
      <c r="D8" s="263"/>
    </row>
    <row r="9" spans="1:7" ht="18" customHeight="1" thickBot="1">
      <c r="A9" s="263"/>
      <c r="B9" s="422" t="s">
        <v>54</v>
      </c>
      <c r="C9" s="975">
        <v>1890.6</v>
      </c>
      <c r="D9" s="263"/>
    </row>
    <row r="10" spans="1:7" ht="24" customHeight="1">
      <c r="A10" s="263"/>
      <c r="B10" s="1435" t="s">
        <v>587</v>
      </c>
      <c r="C10" s="1436"/>
      <c r="D10" s="339"/>
      <c r="E10" s="94"/>
      <c r="F10" s="94"/>
      <c r="G10" s="94"/>
    </row>
    <row r="11" spans="1:7" ht="3.75" customHeight="1">
      <c r="A11" s="263"/>
      <c r="B11" s="263"/>
      <c r="C11" s="263"/>
      <c r="D11" s="263"/>
    </row>
    <row r="21" spans="2:2">
      <c r="B21" s="237"/>
    </row>
    <row r="28" spans="2:2">
      <c r="B28" s="237"/>
    </row>
    <row r="31" spans="2:2">
      <c r="B31" s="235"/>
    </row>
    <row r="39" spans="2:2">
      <c r="B39" s="235"/>
    </row>
    <row r="46" spans="2:2">
      <c r="B46" s="242"/>
    </row>
  </sheetData>
  <sheetProtection password="CF4C" sheet="1" objects="1" scenarios="1"/>
  <customSheetViews>
    <customSheetView guid="{E9B43C8C-734F-433D-AD37-344F9303B5CC}" showPageBreaks="1" showGridLines="0" showRuler="0">
      <selection activeCell="G11" sqref="G11"/>
      <pageMargins left="0.59055118110236227" right="0.59055118110236227" top="0.59055118110236227" bottom="0.59055118110236227" header="0" footer="0"/>
      <printOptions horizontalCentered="1"/>
      <pageSetup orientation="portrait" r:id="rId1"/>
      <headerFooter alignWithMargins="0"/>
    </customSheetView>
    <customSheetView guid="{9BF398E0-33D8-4E64-94A2-9B7C822C8383}" showPageBreaks="1" showGridLines="0" showRuler="0">
      <pageMargins left="0.75" right="0.75" top="1" bottom="1" header="0" footer="0"/>
      <pageSetup orientation="portrait" r:id="rId2"/>
      <headerFooter alignWithMargins="0"/>
    </customSheetView>
    <customSheetView guid="{6DCFE324-2DF9-4BB0-88BD-A4AD316C7A9E}" showPageBreaks="1" showGridLines="0" printArea="1" showRuler="0">
      <pageMargins left="0.75" right="0.75" top="1" bottom="1" header="0" footer="0"/>
      <pageSetup orientation="portrait" r:id="rId3"/>
      <headerFooter alignWithMargins="0"/>
    </customSheetView>
    <customSheetView guid="{48A744A8-8180-4A3B-8108-49EF41816969}" showGridLines="0" showRuler="0">
      <selection activeCell="C10" sqref="C10"/>
      <pageMargins left="0.59055118110236227" right="0.59055118110236227" top="0.59055118110236227" bottom="0.59055118110236227" header="0" footer="0"/>
      <printOptions horizontalCentered="1"/>
      <pageSetup orientation="portrait" r:id="rId4"/>
      <headerFooter alignWithMargins="0"/>
    </customSheetView>
    <customSheetView guid="{9E220BD5-A526-40BD-8239-3A0461590922}" showGridLines="0" showRuler="0">
      <selection activeCell="G11" sqref="G11"/>
      <pageMargins left="0.59055118110236227" right="0.59055118110236227" top="0.59055118110236227" bottom="0.59055118110236227" header="0" footer="0"/>
      <printOptions horizontalCentered="1"/>
      <pageSetup orientation="portrait" r:id="rId5"/>
      <headerFooter alignWithMargins="0"/>
    </customSheetView>
  </customSheetViews>
  <mergeCells count="2">
    <mergeCell ref="B2:C2"/>
    <mergeCell ref="B10:C10"/>
  </mergeCells>
  <phoneticPr fontId="9" type="noConversion"/>
  <printOptions horizontalCentered="1"/>
  <pageMargins left="0.59055118110236227" right="0.59055118110236227" top="0.59055118110236227" bottom="0.59055118110236227" header="0" footer="0"/>
  <pageSetup orientation="portrait" r:id="rId6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sheetPr enableFormatConditionsCalculation="0">
    <tabColor rgb="FFCC3399"/>
    <pageSetUpPr fitToPage="1"/>
  </sheetPr>
  <dimension ref="B1:J47"/>
  <sheetViews>
    <sheetView showGridLines="0" workbookViewId="0">
      <selection activeCell="F5" sqref="F5"/>
    </sheetView>
  </sheetViews>
  <sheetFormatPr baseColWidth="10" defaultRowHeight="12.75"/>
  <cols>
    <col min="1" max="1" width="2.7109375" customWidth="1"/>
    <col min="2" max="2" width="12.7109375" customWidth="1"/>
    <col min="3" max="3" width="12.85546875" customWidth="1"/>
    <col min="4" max="4" width="21.5703125" customWidth="1"/>
    <col min="5" max="5" width="2.7109375" customWidth="1"/>
    <col min="6" max="9" width="11.5703125" bestFit="1" customWidth="1"/>
  </cols>
  <sheetData>
    <row r="1" spans="2:7" ht="12" customHeight="1"/>
    <row r="2" spans="2:7" ht="33" customHeight="1">
      <c r="B2" s="1136" t="s">
        <v>397</v>
      </c>
      <c r="C2" s="1136"/>
      <c r="D2" s="1136"/>
      <c r="E2" s="229"/>
    </row>
    <row r="3" spans="2:7" ht="16.5" customHeight="1" thickBot="1">
      <c r="B3" s="419" t="s">
        <v>112</v>
      </c>
      <c r="C3" s="420"/>
      <c r="D3" s="420"/>
      <c r="E3" s="229"/>
    </row>
    <row r="4" spans="2:7" ht="14.25" customHeight="1" thickBot="1">
      <c r="B4" s="1427" t="s">
        <v>369</v>
      </c>
      <c r="C4" s="1427" t="s">
        <v>367</v>
      </c>
      <c r="D4" s="1427" t="s">
        <v>370</v>
      </c>
      <c r="E4" s="229"/>
    </row>
    <row r="5" spans="2:7" ht="13.5" customHeight="1" thickBot="1">
      <c r="B5" s="1427"/>
      <c r="C5" s="1427"/>
      <c r="D5" s="1427"/>
      <c r="E5" s="229"/>
    </row>
    <row r="6" spans="2:7" ht="20.100000000000001" customHeight="1" thickBot="1">
      <c r="B6" s="513">
        <v>2002</v>
      </c>
      <c r="C6" s="398">
        <v>834.7</v>
      </c>
      <c r="D6" s="398">
        <v>1669.4</v>
      </c>
      <c r="E6" s="229"/>
    </row>
    <row r="7" spans="2:7" ht="20.100000000000001" customHeight="1" thickBot="1">
      <c r="B7" s="514">
        <v>2003</v>
      </c>
      <c r="C7" s="395">
        <v>1432.1</v>
      </c>
      <c r="D7" s="395">
        <v>2864.2</v>
      </c>
      <c r="E7" s="229"/>
    </row>
    <row r="8" spans="2:7" ht="20.100000000000001" customHeight="1" thickBot="1">
      <c r="B8" s="513">
        <v>2004</v>
      </c>
      <c r="C8" s="398">
        <v>1455.3</v>
      </c>
      <c r="D8" s="398">
        <v>2910.6</v>
      </c>
      <c r="E8" s="229"/>
    </row>
    <row r="9" spans="2:7" ht="20.100000000000001" customHeight="1" thickBot="1">
      <c r="B9" s="514">
        <v>2005</v>
      </c>
      <c r="C9" s="395">
        <v>1600.3</v>
      </c>
      <c r="D9" s="395">
        <v>3200.6</v>
      </c>
      <c r="E9" s="229"/>
    </row>
    <row r="10" spans="2:7" ht="20.100000000000001" customHeight="1" thickBot="1">
      <c r="B10" s="513">
        <v>2006</v>
      </c>
      <c r="C10" s="398">
        <v>1495.8</v>
      </c>
      <c r="D10" s="398">
        <v>2991.6</v>
      </c>
      <c r="E10" s="229"/>
    </row>
    <row r="11" spans="2:7" ht="20.100000000000001" customHeight="1" thickBot="1">
      <c r="B11" s="514">
        <v>2007</v>
      </c>
      <c r="C11" s="395">
        <v>1685.1435651799998</v>
      </c>
      <c r="D11" s="395">
        <v>3370.2871303599995</v>
      </c>
      <c r="E11" s="229"/>
    </row>
    <row r="12" spans="2:7" ht="20.100000000000001" customHeight="1" thickBot="1">
      <c r="B12" s="513">
        <v>2008</v>
      </c>
      <c r="C12" s="398">
        <v>1941.1557617799999</v>
      </c>
      <c r="D12" s="398">
        <v>3882.3115235599998</v>
      </c>
      <c r="E12" s="229"/>
    </row>
    <row r="13" spans="2:7" ht="20.100000000000001" customHeight="1" thickBot="1">
      <c r="B13" s="514">
        <v>2009</v>
      </c>
      <c r="C13" s="395">
        <v>1890.6</v>
      </c>
      <c r="D13" s="395">
        <v>3781.2</v>
      </c>
      <c r="E13" s="229"/>
      <c r="F13" s="42"/>
      <c r="G13" s="42"/>
    </row>
    <row r="14" spans="2:7" ht="18.75" customHeight="1" thickBot="1">
      <c r="B14" s="421" t="s">
        <v>113</v>
      </c>
      <c r="C14" s="976">
        <v>12335.099326960002</v>
      </c>
      <c r="D14" s="976">
        <v>24670.198653920004</v>
      </c>
      <c r="E14" s="229"/>
    </row>
    <row r="15" spans="2:7">
      <c r="B15" s="1437" t="s">
        <v>588</v>
      </c>
      <c r="C15" s="1437"/>
      <c r="D15" s="1437"/>
      <c r="E15" s="1437"/>
    </row>
    <row r="18" spans="2:10">
      <c r="G18" s="42"/>
      <c r="H18" s="42"/>
      <c r="I18" s="42"/>
      <c r="J18" s="42"/>
    </row>
    <row r="19" spans="2:10">
      <c r="G19" s="42"/>
      <c r="H19" s="42"/>
      <c r="I19" s="42"/>
      <c r="J19" s="42"/>
    </row>
    <row r="20" spans="2:10">
      <c r="G20" s="42"/>
      <c r="H20" s="42"/>
      <c r="I20" s="42"/>
      <c r="J20" s="42"/>
    </row>
    <row r="21" spans="2:10">
      <c r="G21" s="42"/>
      <c r="H21" s="42"/>
      <c r="I21" s="42"/>
      <c r="J21" s="42"/>
    </row>
    <row r="22" spans="2:10">
      <c r="B22" s="237"/>
      <c r="G22" s="72"/>
      <c r="H22" s="72"/>
      <c r="I22" s="72"/>
      <c r="J22" s="42"/>
    </row>
    <row r="23" spans="2:10">
      <c r="C23" s="35"/>
      <c r="D23" s="35"/>
      <c r="G23" s="42"/>
      <c r="H23" s="42"/>
      <c r="I23" s="42"/>
      <c r="J23" s="42"/>
    </row>
    <row r="24" spans="2:10">
      <c r="G24" s="42"/>
      <c r="H24" s="42"/>
      <c r="I24" s="42"/>
      <c r="J24" s="42"/>
    </row>
    <row r="25" spans="2:10">
      <c r="G25" s="42"/>
      <c r="H25" s="42"/>
      <c r="I25" s="42"/>
      <c r="J25" s="42"/>
    </row>
    <row r="26" spans="2:10">
      <c r="G26" s="42"/>
      <c r="H26" s="42"/>
      <c r="I26" s="42"/>
    </row>
    <row r="29" spans="2:10">
      <c r="B29" s="237"/>
    </row>
    <row r="32" spans="2:10">
      <c r="B32" s="235"/>
    </row>
    <row r="40" spans="2:2">
      <c r="B40" s="235"/>
    </row>
    <row r="47" spans="2:2">
      <c r="B47" s="242"/>
    </row>
  </sheetData>
  <sheetProtection password="CF4C" sheet="1" objects="1" scenarios="1"/>
  <customSheetViews>
    <customSheetView guid="{E9B43C8C-734F-433D-AD37-344F9303B5CC}" showPageBreaks="1" showGridLines="0" showRuler="0">
      <selection activeCell="J4" sqref="J4"/>
      <pageMargins left="0.59055118110236227" right="0.59055118110236227" top="0.59055118110236227" bottom="0.59055118110236227" header="0" footer="0"/>
      <printOptions horizontalCentered="1"/>
      <pageSetup orientation="portrait" r:id="rId1"/>
      <headerFooter alignWithMargins="0"/>
    </customSheetView>
    <customSheetView guid="{9BF398E0-33D8-4E64-94A2-9B7C822C8383}" showPageBreaks="1" showGridLines="0" printArea="1" showRuler="0">
      <pageMargins left="0.75" right="0.75" top="1" bottom="1" header="0" footer="0"/>
      <pageSetup orientation="portrait" r:id="rId2"/>
      <headerFooter alignWithMargins="0"/>
    </customSheetView>
    <customSheetView guid="{6DCFE324-2DF9-4BB0-88BD-A4AD316C7A9E}" showPageBreaks="1" showGridLines="0" printArea="1" showRuler="0">
      <pageMargins left="0.75" right="0.75" top="1" bottom="1" header="0" footer="0"/>
      <pageSetup orientation="portrait" r:id="rId3"/>
      <headerFooter alignWithMargins="0"/>
    </customSheetView>
    <customSheetView guid="{48A744A8-8180-4A3B-8108-49EF41816969}" showGridLines="0" showRuler="0">
      <selection activeCell="F13" sqref="F13"/>
      <pageMargins left="0.59055118110236227" right="0.59055118110236227" top="0.59055118110236227" bottom="0.59055118110236227" header="0" footer="0"/>
      <printOptions horizontalCentered="1"/>
      <pageSetup orientation="portrait" r:id="rId4"/>
      <headerFooter alignWithMargins="0"/>
    </customSheetView>
    <customSheetView guid="{9E220BD5-A526-40BD-8239-3A0461590922}" showGridLines="0" showRuler="0">
      <selection activeCell="J4" sqref="J4"/>
      <pageMargins left="0.59055118110236227" right="0.59055118110236227" top="0.59055118110236227" bottom="0.59055118110236227" header="0" footer="0"/>
      <printOptions horizontalCentered="1"/>
      <pageSetup orientation="portrait" r:id="rId5"/>
      <headerFooter alignWithMargins="0"/>
    </customSheetView>
  </customSheetViews>
  <mergeCells count="5">
    <mergeCell ref="B2:D2"/>
    <mergeCell ref="B15:E15"/>
    <mergeCell ref="B4:B5"/>
    <mergeCell ref="D4:D5"/>
    <mergeCell ref="C4:C5"/>
  </mergeCells>
  <phoneticPr fontId="9" type="noConversion"/>
  <printOptions horizontalCentered="1"/>
  <pageMargins left="0.59055118110236227" right="0.59055118110236227" top="0.59055118110236227" bottom="0.59055118110236227" header="0" footer="0"/>
  <pageSetup orientation="portrait" r:id="rId6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sheetPr codeName="Hoja45" enableFormatConditionsCalculation="0">
    <tabColor rgb="FFCC3399"/>
    <pageSetUpPr fitToPage="1"/>
  </sheetPr>
  <dimension ref="A1:J46"/>
  <sheetViews>
    <sheetView showGridLines="0" workbookViewId="0">
      <selection activeCell="K11" sqref="K11"/>
    </sheetView>
  </sheetViews>
  <sheetFormatPr baseColWidth="10" defaultRowHeight="12.75"/>
  <cols>
    <col min="1" max="1" width="1.7109375" customWidth="1"/>
    <col min="2" max="2" width="27.7109375" customWidth="1"/>
    <col min="3" max="3" width="13.7109375" customWidth="1"/>
    <col min="4" max="4" width="14.7109375" customWidth="1"/>
    <col min="5" max="5" width="15.7109375" customWidth="1"/>
    <col min="6" max="6" width="14.7109375" customWidth="1"/>
    <col min="7" max="7" width="1.7109375" customWidth="1"/>
    <col min="8" max="8" width="11.5703125" customWidth="1"/>
  </cols>
  <sheetData>
    <row r="1" spans="1:10" ht="12" customHeight="1"/>
    <row r="2" spans="1:10" s="46" customFormat="1" ht="15.75">
      <c r="A2" s="47"/>
      <c r="B2" s="1136" t="s">
        <v>398</v>
      </c>
      <c r="C2" s="1136"/>
      <c r="D2" s="1136"/>
      <c r="E2" s="1136"/>
      <c r="F2" s="1136"/>
      <c r="G2" s="47"/>
      <c r="H2" s="45"/>
      <c r="I2" s="45"/>
    </row>
    <row r="3" spans="1:10" ht="15" customHeight="1" thickBot="1">
      <c r="A3" s="19"/>
      <c r="B3" s="419" t="s">
        <v>112</v>
      </c>
      <c r="C3" s="420"/>
      <c r="D3" s="420"/>
      <c r="E3" s="420"/>
      <c r="F3" s="420"/>
      <c r="G3" s="19"/>
      <c r="H3" s="6"/>
      <c r="I3" s="6"/>
    </row>
    <row r="4" spans="1:10" ht="33" customHeight="1" thickBot="1">
      <c r="A4" s="31"/>
      <c r="B4" s="416" t="s">
        <v>230</v>
      </c>
      <c r="C4" s="416" t="s">
        <v>371</v>
      </c>
      <c r="D4" s="416" t="s">
        <v>372</v>
      </c>
      <c r="E4" s="416" t="s">
        <v>373</v>
      </c>
      <c r="F4" s="416" t="s">
        <v>374</v>
      </c>
      <c r="G4" s="31"/>
    </row>
    <row r="5" spans="1:10" s="18" customFormat="1" ht="15" customHeight="1" thickBot="1">
      <c r="A5" s="32"/>
      <c r="B5" s="424" t="s">
        <v>6</v>
      </c>
      <c r="C5" s="395">
        <v>28.560366999999999</v>
      </c>
      <c r="D5" s="395">
        <v>30.590204</v>
      </c>
      <c r="E5" s="395">
        <v>30.590204</v>
      </c>
      <c r="F5" s="395">
        <v>61.180408</v>
      </c>
      <c r="G5" s="32"/>
      <c r="I5" s="134"/>
      <c r="J5" s="134"/>
    </row>
    <row r="6" spans="1:10" ht="15" customHeight="1" thickBot="1">
      <c r="A6" s="7"/>
      <c r="B6" s="425" t="s">
        <v>7</v>
      </c>
      <c r="C6" s="398">
        <v>71.337018999999998</v>
      </c>
      <c r="D6" s="398">
        <v>77.272323</v>
      </c>
      <c r="E6" s="398">
        <v>77.272323</v>
      </c>
      <c r="F6" s="398">
        <v>154.544646</v>
      </c>
      <c r="G6" s="7"/>
      <c r="I6" s="134"/>
      <c r="J6" s="134"/>
    </row>
    <row r="7" spans="1:10" s="18" customFormat="1" ht="15" customHeight="1" thickBot="1">
      <c r="A7" s="32"/>
      <c r="B7" s="424" t="s">
        <v>8</v>
      </c>
      <c r="C7" s="395">
        <v>21.092628999999999</v>
      </c>
      <c r="D7" s="395">
        <v>11.938287000000001</v>
      </c>
      <c r="E7" s="395">
        <v>11.938287000000001</v>
      </c>
      <c r="F7" s="395">
        <v>23.876574000000002</v>
      </c>
      <c r="G7" s="32"/>
      <c r="I7" s="134"/>
      <c r="J7" s="134"/>
    </row>
    <row r="8" spans="1:10" s="18" customFormat="1" ht="15" customHeight="1" thickBot="1">
      <c r="A8" s="32"/>
      <c r="B8" s="425" t="s">
        <v>9</v>
      </c>
      <c r="C8" s="398">
        <v>3.0776650000000001</v>
      </c>
      <c r="D8" s="398">
        <v>4.4673870000000004</v>
      </c>
      <c r="E8" s="398">
        <v>4.4673870000000004</v>
      </c>
      <c r="F8" s="398">
        <v>8.9347740000000009</v>
      </c>
      <c r="G8" s="32"/>
      <c r="I8" s="134"/>
      <c r="J8" s="134"/>
    </row>
    <row r="9" spans="1:10" s="18" customFormat="1" ht="15" customHeight="1" thickBot="1">
      <c r="A9" s="32"/>
      <c r="B9" s="424" t="s">
        <v>12</v>
      </c>
      <c r="C9" s="395">
        <v>4.4479430000000004</v>
      </c>
      <c r="D9" s="395">
        <v>4.4982280000000001</v>
      </c>
      <c r="E9" s="395">
        <v>4.4982280000000001</v>
      </c>
      <c r="F9" s="395">
        <v>8.9964560000000002</v>
      </c>
      <c r="G9" s="32"/>
      <c r="I9" s="134"/>
      <c r="J9" s="134"/>
    </row>
    <row r="10" spans="1:10" ht="15" customHeight="1" thickBot="1">
      <c r="A10" s="7"/>
      <c r="B10" s="425" t="s">
        <v>13</v>
      </c>
      <c r="C10" s="398">
        <v>99.577986999999993</v>
      </c>
      <c r="D10" s="398">
        <v>121.84404600000001</v>
      </c>
      <c r="E10" s="398">
        <v>121.84404600000001</v>
      </c>
      <c r="F10" s="398">
        <v>243.68809200000001</v>
      </c>
      <c r="G10" s="7"/>
      <c r="I10" s="134"/>
      <c r="J10" s="134"/>
    </row>
    <row r="11" spans="1:10" s="18" customFormat="1" ht="15" customHeight="1" thickBot="1">
      <c r="A11" s="32"/>
      <c r="B11" s="424" t="s">
        <v>10</v>
      </c>
      <c r="C11" s="395">
        <v>59.558177999999998</v>
      </c>
      <c r="D11" s="395">
        <v>59.270619000000003</v>
      </c>
      <c r="E11" s="395">
        <v>59.270619000000003</v>
      </c>
      <c r="F11" s="395">
        <v>118.54123800000001</v>
      </c>
      <c r="G11" s="32"/>
      <c r="I11" s="134"/>
      <c r="J11" s="134"/>
    </row>
    <row r="12" spans="1:10" s="18" customFormat="1" ht="15" customHeight="1" thickBot="1">
      <c r="A12" s="32"/>
      <c r="B12" s="425" t="s">
        <v>11</v>
      </c>
      <c r="C12" s="398">
        <v>13.279763000000001</v>
      </c>
      <c r="D12" s="398">
        <v>7.0759790000000002</v>
      </c>
      <c r="E12" s="398">
        <v>7.0759790000000002</v>
      </c>
      <c r="F12" s="398">
        <v>14.151958</v>
      </c>
      <c r="G12" s="32"/>
      <c r="I12" s="134"/>
      <c r="J12" s="134"/>
    </row>
    <row r="13" spans="1:10" s="18" customFormat="1" ht="15" customHeight="1" thickBot="1">
      <c r="A13" s="32"/>
      <c r="B13" s="424" t="s">
        <v>14</v>
      </c>
      <c r="C13" s="395">
        <v>292.805024</v>
      </c>
      <c r="D13" s="395">
        <v>347.89339899999999</v>
      </c>
      <c r="E13" s="395">
        <v>347.89339899999999</v>
      </c>
      <c r="F13" s="395">
        <v>695.78679799999998</v>
      </c>
      <c r="G13" s="32"/>
      <c r="I13" s="134"/>
      <c r="J13" s="134"/>
    </row>
    <row r="14" spans="1:10" ht="15" customHeight="1" thickBot="1">
      <c r="A14" s="7"/>
      <c r="B14" s="425" t="s">
        <v>15</v>
      </c>
      <c r="C14" s="398">
        <v>30.617761000000002</v>
      </c>
      <c r="D14" s="398">
        <v>36.967889</v>
      </c>
      <c r="E14" s="398">
        <v>36.967889</v>
      </c>
      <c r="F14" s="398">
        <v>73.935777999999999</v>
      </c>
      <c r="G14" s="7"/>
      <c r="I14" s="134"/>
      <c r="J14" s="134"/>
    </row>
    <row r="15" spans="1:10" s="18" customFormat="1" ht="15" customHeight="1" thickBot="1">
      <c r="A15" s="32"/>
      <c r="B15" s="424" t="s">
        <v>16</v>
      </c>
      <c r="C15" s="395">
        <v>76.883748999999995</v>
      </c>
      <c r="D15" s="395">
        <v>86.600598000000005</v>
      </c>
      <c r="E15" s="395">
        <v>86.600598000000005</v>
      </c>
      <c r="F15" s="395">
        <v>173.20119600000001</v>
      </c>
      <c r="G15" s="32"/>
      <c r="I15" s="134"/>
      <c r="J15" s="134"/>
    </row>
    <row r="16" spans="1:10" ht="15" customHeight="1" thickBot="1">
      <c r="A16" s="7"/>
      <c r="B16" s="425" t="s">
        <v>17</v>
      </c>
      <c r="C16" s="398">
        <v>25.476310999999999</v>
      </c>
      <c r="D16" s="398">
        <v>46.173431999999998</v>
      </c>
      <c r="E16" s="398">
        <v>46.173431999999998</v>
      </c>
      <c r="F16" s="398">
        <v>92.346863999999997</v>
      </c>
      <c r="G16" s="7"/>
      <c r="I16" s="134"/>
      <c r="J16" s="134"/>
    </row>
    <row r="17" spans="1:10" s="18" customFormat="1" ht="15" customHeight="1" thickBot="1">
      <c r="A17" s="32"/>
      <c r="B17" s="424" t="s">
        <v>18</v>
      </c>
      <c r="C17" s="395">
        <v>14.750113000000001</v>
      </c>
      <c r="D17" s="395">
        <v>22.535181999999999</v>
      </c>
      <c r="E17" s="395">
        <v>22.535181999999999</v>
      </c>
      <c r="F17" s="395">
        <v>45.070363999999998</v>
      </c>
      <c r="G17" s="32"/>
      <c r="I17" s="134"/>
      <c r="J17" s="134"/>
    </row>
    <row r="18" spans="1:10" ht="15" customHeight="1" thickBot="1">
      <c r="A18" s="7"/>
      <c r="B18" s="425" t="s">
        <v>19</v>
      </c>
      <c r="C18" s="398">
        <v>96.476501999999996</v>
      </c>
      <c r="D18" s="398">
        <v>117.235213</v>
      </c>
      <c r="E18" s="398">
        <v>117.235213</v>
      </c>
      <c r="F18" s="398">
        <v>234.470426</v>
      </c>
      <c r="G18" s="7"/>
      <c r="I18" s="134"/>
      <c r="J18" s="134"/>
    </row>
    <row r="19" spans="1:10" s="18" customFormat="1" ht="15" customHeight="1" thickBot="1">
      <c r="A19" s="32"/>
      <c r="B19" s="424" t="s">
        <v>20</v>
      </c>
      <c r="C19" s="395">
        <v>129.85962499999999</v>
      </c>
      <c r="D19" s="395">
        <v>279.23120599999999</v>
      </c>
      <c r="E19" s="395">
        <v>279.23120599999999</v>
      </c>
      <c r="F19" s="395">
        <v>558.46241199999997</v>
      </c>
      <c r="G19" s="32"/>
      <c r="I19" s="134"/>
      <c r="J19" s="134"/>
    </row>
    <row r="20" spans="1:10" ht="15" customHeight="1" thickBot="1">
      <c r="A20" s="7"/>
      <c r="B20" s="425" t="s">
        <v>21</v>
      </c>
      <c r="C20" s="398">
        <v>45.651798999999997</v>
      </c>
      <c r="D20" s="398">
        <v>31.350664999999999</v>
      </c>
      <c r="E20" s="398">
        <v>31.350664999999999</v>
      </c>
      <c r="F20" s="398">
        <v>62.701329999999999</v>
      </c>
      <c r="G20" s="7"/>
      <c r="I20" s="134"/>
      <c r="J20" s="134"/>
    </row>
    <row r="21" spans="1:10" s="18" customFormat="1" ht="15" customHeight="1" thickBot="1">
      <c r="A21" s="32"/>
      <c r="B21" s="424" t="s">
        <v>22</v>
      </c>
      <c r="C21" s="395">
        <v>18.746532999999999</v>
      </c>
      <c r="D21" s="395">
        <v>14.203776</v>
      </c>
      <c r="E21" s="395">
        <v>14.203776</v>
      </c>
      <c r="F21" s="395">
        <v>28.407551999999999</v>
      </c>
      <c r="G21" s="32"/>
      <c r="I21" s="134"/>
      <c r="J21" s="134"/>
    </row>
    <row r="22" spans="1:10" ht="15" customHeight="1" thickBot="1">
      <c r="A22" s="7"/>
      <c r="B22" s="425" t="s">
        <v>23</v>
      </c>
      <c r="C22" s="398">
        <v>10.760788</v>
      </c>
      <c r="D22" s="398">
        <v>5.615958</v>
      </c>
      <c r="E22" s="398">
        <v>5.615958</v>
      </c>
      <c r="F22" s="398">
        <v>11.231916</v>
      </c>
      <c r="G22" s="7"/>
      <c r="I22" s="134"/>
      <c r="J22" s="134"/>
    </row>
    <row r="23" spans="1:10" s="18" customFormat="1" ht="15" customHeight="1" thickBot="1">
      <c r="A23" s="32"/>
      <c r="B23" s="424" t="s">
        <v>24</v>
      </c>
      <c r="C23" s="395">
        <v>106.343265</v>
      </c>
      <c r="D23" s="395">
        <v>133.847478</v>
      </c>
      <c r="E23" s="395">
        <v>133.847478</v>
      </c>
      <c r="F23" s="395">
        <v>267.69495599999999</v>
      </c>
      <c r="G23" s="32"/>
      <c r="I23" s="134"/>
      <c r="J23" s="134"/>
    </row>
    <row r="24" spans="1:10" ht="15" customHeight="1" thickBot="1">
      <c r="A24" s="7"/>
      <c r="B24" s="425" t="s">
        <v>25</v>
      </c>
      <c r="C24" s="398">
        <v>11.290495999999999</v>
      </c>
      <c r="D24" s="398">
        <v>14.746428</v>
      </c>
      <c r="E24" s="398">
        <v>14.746428</v>
      </c>
      <c r="F24" s="398">
        <v>29.492856</v>
      </c>
      <c r="G24" s="7"/>
      <c r="I24" s="134"/>
      <c r="J24" s="134"/>
    </row>
    <row r="25" spans="1:10" s="18" customFormat="1" ht="15" customHeight="1" thickBot="1">
      <c r="A25" s="32"/>
      <c r="B25" s="424" t="s">
        <v>36</v>
      </c>
      <c r="C25" s="395">
        <v>55.603447000000003</v>
      </c>
      <c r="D25" s="395">
        <v>72.563280000000006</v>
      </c>
      <c r="E25" s="395">
        <v>72.563280000000006</v>
      </c>
      <c r="F25" s="395">
        <v>145.12656000000001</v>
      </c>
      <c r="G25" s="32"/>
      <c r="I25" s="134"/>
      <c r="J25" s="134"/>
    </row>
    <row r="26" spans="1:10" ht="15" customHeight="1" thickBot="1">
      <c r="A26" s="7"/>
      <c r="B26" s="425" t="s">
        <v>26</v>
      </c>
      <c r="C26" s="398">
        <v>31.572672000000001</v>
      </c>
      <c r="D26" s="398">
        <v>32.619349999999997</v>
      </c>
      <c r="E26" s="398">
        <v>32.619349999999997</v>
      </c>
      <c r="F26" s="398">
        <v>65.238699999999994</v>
      </c>
      <c r="G26" s="7"/>
      <c r="I26" s="134"/>
      <c r="J26" s="134"/>
    </row>
    <row r="27" spans="1:10" s="18" customFormat="1" ht="15" customHeight="1" thickBot="1">
      <c r="A27" s="32"/>
      <c r="B27" s="424" t="s">
        <v>27</v>
      </c>
      <c r="C27" s="395">
        <v>12.464180000000001</v>
      </c>
      <c r="D27" s="395">
        <v>8.6729450000000003</v>
      </c>
      <c r="E27" s="395">
        <v>8.6729450000000003</v>
      </c>
      <c r="F27" s="395">
        <v>17.345890000000001</v>
      </c>
      <c r="G27" s="32"/>
      <c r="I27" s="134"/>
      <c r="J27" s="134"/>
    </row>
    <row r="28" spans="1:10" ht="15" customHeight="1" thickBot="1">
      <c r="A28" s="7"/>
      <c r="B28" s="425" t="s">
        <v>28</v>
      </c>
      <c r="C28" s="398">
        <v>38.678673000000003</v>
      </c>
      <c r="D28" s="398">
        <v>36.142910000000001</v>
      </c>
      <c r="E28" s="398">
        <v>36.142910000000001</v>
      </c>
      <c r="F28" s="398">
        <v>72.285820000000001</v>
      </c>
      <c r="G28" s="7"/>
      <c r="I28" s="134"/>
      <c r="J28" s="134"/>
    </row>
    <row r="29" spans="1:10" s="18" customFormat="1" ht="15" customHeight="1" thickBot="1">
      <c r="A29" s="32"/>
      <c r="B29" s="424" t="s">
        <v>29</v>
      </c>
      <c r="C29" s="395">
        <v>36.879938000000003</v>
      </c>
      <c r="D29" s="395">
        <v>47.298591000000002</v>
      </c>
      <c r="E29" s="395">
        <v>47.298591000000002</v>
      </c>
      <c r="F29" s="395">
        <v>94.597182000000004</v>
      </c>
      <c r="G29" s="32"/>
      <c r="I29" s="134"/>
      <c r="J29" s="134"/>
    </row>
    <row r="30" spans="1:10" ht="15" customHeight="1" thickBot="1">
      <c r="A30" s="7"/>
      <c r="B30" s="425" t="s">
        <v>37</v>
      </c>
      <c r="C30" s="398">
        <v>54.500978000000003</v>
      </c>
      <c r="D30" s="398">
        <v>93.035964000000007</v>
      </c>
      <c r="E30" s="398">
        <v>93.035964000000007</v>
      </c>
      <c r="F30" s="398">
        <v>186.07192800000001</v>
      </c>
      <c r="G30" s="7"/>
      <c r="I30" s="134"/>
      <c r="J30" s="134"/>
    </row>
    <row r="31" spans="1:10" s="18" customFormat="1" ht="15" customHeight="1" thickBot="1">
      <c r="A31" s="32"/>
      <c r="B31" s="424" t="s">
        <v>30</v>
      </c>
      <c r="C31" s="395">
        <v>5.3819410000000003</v>
      </c>
      <c r="D31" s="395">
        <v>5.0050610000000004</v>
      </c>
      <c r="E31" s="395">
        <v>5.0050610000000004</v>
      </c>
      <c r="F31" s="395">
        <v>10.010122000000001</v>
      </c>
      <c r="G31" s="32"/>
      <c r="I31" s="134"/>
      <c r="J31" s="134"/>
    </row>
    <row r="32" spans="1:10" ht="15" customHeight="1" thickBot="1">
      <c r="A32" s="7"/>
      <c r="B32" s="425" t="s">
        <v>31</v>
      </c>
      <c r="C32" s="398">
        <v>73.722970000000004</v>
      </c>
      <c r="D32" s="398">
        <v>50.988854000000003</v>
      </c>
      <c r="E32" s="398">
        <v>50.988854000000003</v>
      </c>
      <c r="F32" s="398">
        <v>101.97770800000001</v>
      </c>
      <c r="G32" s="7"/>
      <c r="I32" s="134"/>
      <c r="J32" s="134"/>
    </row>
    <row r="33" spans="1:10" s="18" customFormat="1" ht="15" customHeight="1" thickBot="1">
      <c r="A33" s="32"/>
      <c r="B33" s="424" t="s">
        <v>32</v>
      </c>
      <c r="C33" s="395">
        <v>14.475603</v>
      </c>
      <c r="D33" s="395">
        <v>16.672685999999999</v>
      </c>
      <c r="E33" s="395">
        <v>16.672685999999999</v>
      </c>
      <c r="F33" s="395">
        <v>33.345371999999998</v>
      </c>
      <c r="G33" s="32"/>
      <c r="I33" s="134"/>
      <c r="J33" s="134"/>
    </row>
    <row r="34" spans="1:10" ht="15" customHeight="1" thickBot="1">
      <c r="A34" s="7"/>
      <c r="B34" s="425" t="s">
        <v>33</v>
      </c>
      <c r="C34" s="398">
        <v>27.203752000000001</v>
      </c>
      <c r="D34" s="398">
        <v>37.422688999999998</v>
      </c>
      <c r="E34" s="398">
        <v>37.422688999999998</v>
      </c>
      <c r="F34" s="398">
        <v>74.845377999999997</v>
      </c>
      <c r="G34" s="7"/>
      <c r="I34" s="134"/>
      <c r="J34" s="134"/>
    </row>
    <row r="35" spans="1:10" s="18" customFormat="1" ht="15" customHeight="1" thickBot="1">
      <c r="A35" s="32"/>
      <c r="B35" s="424" t="s">
        <v>34</v>
      </c>
      <c r="C35" s="395">
        <v>7.8898409999999997</v>
      </c>
      <c r="D35" s="395">
        <v>8.4276359999999997</v>
      </c>
      <c r="E35" s="395">
        <v>8.4276359999999997</v>
      </c>
      <c r="F35" s="395">
        <v>16.855271999999999</v>
      </c>
      <c r="G35" s="32"/>
      <c r="I35" s="134"/>
      <c r="J35" s="134"/>
    </row>
    <row r="36" spans="1:10" ht="15" customHeight="1" thickBot="1">
      <c r="A36" s="7"/>
      <c r="B36" s="425" t="s">
        <v>35</v>
      </c>
      <c r="C36" s="398">
        <v>13.285562000000001</v>
      </c>
      <c r="D36" s="398">
        <v>28.442888</v>
      </c>
      <c r="E36" s="398">
        <v>28.442888</v>
      </c>
      <c r="F36" s="398">
        <v>56.885776</v>
      </c>
      <c r="G36" s="7"/>
      <c r="I36" s="134"/>
      <c r="J36" s="134"/>
    </row>
    <row r="37" spans="1:10" s="18" customFormat="1" ht="15" customHeight="1" thickBot="1">
      <c r="A37" s="32"/>
      <c r="B37" s="422" t="s">
        <v>54</v>
      </c>
      <c r="C37" s="397">
        <v>1532.253074</v>
      </c>
      <c r="D37" s="397">
        <v>1890.651151</v>
      </c>
      <c r="E37" s="397">
        <v>1890.651151</v>
      </c>
      <c r="F37" s="397">
        <v>3781.3023020000001</v>
      </c>
      <c r="G37" s="32"/>
    </row>
    <row r="38" spans="1:10">
      <c r="B38" s="230" t="s">
        <v>368</v>
      </c>
      <c r="C38" s="232"/>
      <c r="D38" s="232"/>
      <c r="E38" s="232"/>
      <c r="F38" s="232"/>
      <c r="G38" s="68"/>
      <c r="H38" s="68"/>
    </row>
    <row r="39" spans="1:10" ht="13.5">
      <c r="A39" s="7"/>
      <c r="B39" s="1438"/>
      <c r="C39" s="1439"/>
      <c r="D39" s="1439"/>
      <c r="E39" s="63"/>
      <c r="F39" s="63"/>
      <c r="G39" s="7"/>
    </row>
    <row r="40" spans="1:10" ht="13.5">
      <c r="A40" s="7"/>
      <c r="B40" s="10"/>
      <c r="C40" s="10"/>
      <c r="D40" s="10"/>
      <c r="E40" s="10"/>
      <c r="F40" s="10"/>
      <c r="G40" s="7"/>
    </row>
    <row r="41" spans="1:10">
      <c r="B41" s="256" t="s">
        <v>228</v>
      </c>
    </row>
    <row r="46" spans="1:10">
      <c r="B46" s="242"/>
    </row>
  </sheetData>
  <sheetProtection password="CF4C" sheet="1" objects="1" scenarios="1"/>
  <customSheetViews>
    <customSheetView guid="{E9B43C8C-734F-433D-AD37-344F9303B5CC}" showPageBreaks="1" showGridLines="0" fitToPage="1" showRuler="0">
      <pane ySplit="12.75" topLeftCell="A28" activePane="bottomLeft"/>
      <selection pane="bottomLeft" activeCell="B41" sqref="B41"/>
      <pageMargins left="0.39370078740157483" right="0.39370078740157483" top="0.59055118110236227" bottom="0.39370078740157483" header="0.39370078740157483" footer="0"/>
      <printOptions horizontalCentered="1"/>
      <pageSetup scale="89" orientation="portrait" r:id="rId1"/>
      <headerFooter alignWithMargins="0">
        <oddFooter>&amp;R&amp;F DE &amp;A, &amp;D</oddFooter>
      </headerFooter>
    </customSheetView>
    <customSheetView guid="{9BF398E0-33D8-4E64-94A2-9B7C822C8383}" showPageBreaks="1" showGridLines="0" fitToPage="1" showRuler="0">
      <pageMargins left="0.39370078740157483" right="0.39370078740157483" top="0.39370078740157483" bottom="0.39370078740157483" header="0" footer="0"/>
      <printOptions horizontalCentered="1"/>
      <pageSetup scale="89" orientation="portrait" r:id="rId2"/>
      <headerFooter alignWithMargins="0">
        <oddFooter>&amp;R&amp;F DE &amp;A, &amp;D</oddFooter>
      </headerFooter>
    </customSheetView>
    <customSheetView guid="{6DCFE324-2DF9-4BB0-88BD-A4AD316C7A9E}" showGridLines="0" fitToPage="1" showRuler="0">
      <pane ySplit="15" topLeftCell="A32"/>
      <pageMargins left="0.39370078740157483" right="0.39370078740157483" top="0.39370078740157483" bottom="0.39370078740157483" header="0" footer="0"/>
      <printOptions horizontalCentered="1"/>
      <pageSetup scale="96" orientation="portrait" r:id="rId3"/>
      <headerFooter alignWithMargins="0">
        <oddFooter>&amp;R&amp;F DE &amp;A, &amp;D</oddFooter>
      </headerFooter>
    </customSheetView>
    <customSheetView guid="{48A744A8-8180-4A3B-8108-49EF41816969}" showGridLines="0" fitToPage="1" showRuler="0">
      <pane ySplit="11" topLeftCell="A30" activePane="bottomLeft"/>
      <selection pane="bottomLeft" activeCell="J37" sqref="J37"/>
      <pageMargins left="0.39370078740157483" right="0.39370078740157483" top="0.39370078740157483" bottom="0.39370078740157483" header="0" footer="0"/>
      <printOptions horizontalCentered="1"/>
      <pageSetup scale="98" orientation="portrait" r:id="rId4"/>
      <headerFooter alignWithMargins="0">
        <oddFooter>&amp;R&amp;F DE &amp;A, &amp;D</oddFooter>
      </headerFooter>
    </customSheetView>
    <customSheetView guid="{9E220BD5-A526-40BD-8239-3A0461590922}" showGridLines="0" fitToPage="1" showRuler="0">
      <pane ySplit="12.75" topLeftCell="A28" activePane="bottomLeft"/>
      <selection pane="bottomLeft" activeCell="B41" sqref="B41"/>
      <pageMargins left="0.39370078740157483" right="0.39370078740157483" top="0.59055118110236227" bottom="0.39370078740157483" header="0.39370078740157483" footer="0"/>
      <printOptions horizontalCentered="1"/>
      <pageSetup scale="88" orientation="portrait" r:id="rId5"/>
      <headerFooter alignWithMargins="0">
        <oddFooter>&amp;R&amp;F DE &amp;A, &amp;D</oddFooter>
      </headerFooter>
    </customSheetView>
  </customSheetViews>
  <mergeCells count="2">
    <mergeCell ref="B39:D39"/>
    <mergeCell ref="B2:F2"/>
  </mergeCells>
  <phoneticPr fontId="0" type="noConversion"/>
  <printOptions horizontalCentered="1"/>
  <pageMargins left="0.39370078740157483" right="0.39370078740157483" top="0.59055118110236227" bottom="0.39370078740157483" header="0.39370078740157483" footer="0"/>
  <pageSetup orientation="portrait" r:id="rId6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CC3399"/>
    <pageSetUpPr fitToPage="1"/>
  </sheetPr>
  <dimension ref="A1:K150"/>
  <sheetViews>
    <sheetView workbookViewId="0">
      <selection activeCell="J8" sqref="J8"/>
    </sheetView>
  </sheetViews>
  <sheetFormatPr baseColWidth="10" defaultRowHeight="15"/>
  <cols>
    <col min="1" max="1" width="2.140625" style="538" customWidth="1"/>
    <col min="2" max="2" width="21.7109375" style="538" customWidth="1"/>
    <col min="3" max="3" width="26.7109375" style="538" customWidth="1"/>
    <col min="4" max="4" width="30.7109375" style="538" customWidth="1"/>
    <col min="5" max="5" width="10.28515625" style="538" hidden="1" customWidth="1"/>
    <col min="6" max="6" width="3" style="538" customWidth="1"/>
    <col min="7" max="16384" width="11.42578125" style="538"/>
  </cols>
  <sheetData>
    <row r="1" spans="1:11">
      <c r="A1" s="536"/>
      <c r="B1" s="537"/>
      <c r="C1" s="537"/>
      <c r="D1" s="537"/>
      <c r="E1" s="537"/>
      <c r="F1" s="537"/>
      <c r="G1" s="537"/>
      <c r="H1" s="537"/>
      <c r="I1" s="537"/>
      <c r="J1" s="537"/>
      <c r="K1" s="537"/>
    </row>
    <row r="2" spans="1:11">
      <c r="A2" s="536"/>
      <c r="B2" s="1448"/>
      <c r="C2" s="1448"/>
      <c r="D2" s="1448"/>
      <c r="E2" s="1448"/>
      <c r="F2" s="537"/>
      <c r="G2" s="537"/>
      <c r="H2" s="537"/>
      <c r="I2" s="537"/>
      <c r="J2" s="537"/>
      <c r="K2" s="537"/>
    </row>
    <row r="3" spans="1:11" ht="31.5" customHeight="1">
      <c r="A3" s="536"/>
      <c r="B3" s="1136" t="s">
        <v>399</v>
      </c>
      <c r="C3" s="1136"/>
      <c r="D3" s="1136"/>
      <c r="E3" s="1136"/>
      <c r="F3" s="537"/>
      <c r="G3" s="537"/>
      <c r="H3" s="537"/>
      <c r="I3" s="537"/>
      <c r="J3" s="537"/>
      <c r="K3" s="537"/>
    </row>
    <row r="4" spans="1:11">
      <c r="A4" s="536"/>
      <c r="B4" s="419" t="s">
        <v>112</v>
      </c>
      <c r="C4" s="420"/>
      <c r="D4" s="420"/>
      <c r="E4" s="420"/>
      <c r="F4" s="537"/>
      <c r="G4" s="537"/>
      <c r="H4" s="537"/>
      <c r="I4" s="537"/>
      <c r="J4" s="537"/>
      <c r="K4" s="537"/>
    </row>
    <row r="5" spans="1:11" ht="43.5" customHeight="1">
      <c r="A5" s="536"/>
      <c r="B5" s="618" t="s">
        <v>194</v>
      </c>
      <c r="C5" s="618" t="s">
        <v>400</v>
      </c>
      <c r="D5" s="618" t="s">
        <v>401</v>
      </c>
      <c r="E5" s="539" t="s">
        <v>402</v>
      </c>
      <c r="F5" s="537"/>
      <c r="G5" s="537"/>
      <c r="H5" s="537"/>
      <c r="I5" s="537"/>
      <c r="J5" s="537"/>
      <c r="K5" s="537"/>
    </row>
    <row r="6" spans="1:11" ht="15.75" customHeight="1">
      <c r="A6" s="536"/>
      <c r="B6" s="1447" t="s">
        <v>454</v>
      </c>
      <c r="C6" s="1447"/>
      <c r="D6" s="1447"/>
      <c r="E6" s="1447"/>
      <c r="F6" s="537"/>
      <c r="G6" s="537"/>
      <c r="H6" s="537"/>
      <c r="I6" s="537"/>
      <c r="J6" s="537"/>
      <c r="K6" s="537"/>
    </row>
    <row r="7" spans="1:11">
      <c r="A7" s="536"/>
      <c r="B7" s="540" t="s">
        <v>225</v>
      </c>
      <c r="C7" s="540" t="s">
        <v>144</v>
      </c>
      <c r="D7" s="541" t="s">
        <v>403</v>
      </c>
      <c r="E7" s="542" t="e">
        <v>#REF!</v>
      </c>
      <c r="F7" s="537"/>
      <c r="G7" s="537"/>
      <c r="H7" s="537"/>
      <c r="I7" s="537"/>
      <c r="J7" s="537"/>
      <c r="K7" s="537"/>
    </row>
    <row r="8" spans="1:11" ht="18" customHeight="1">
      <c r="A8" s="536"/>
      <c r="B8" s="543" t="s">
        <v>16</v>
      </c>
      <c r="C8" s="543" t="s">
        <v>486</v>
      </c>
      <c r="D8" s="544" t="s">
        <v>404</v>
      </c>
      <c r="E8" s="545"/>
      <c r="F8" s="537"/>
      <c r="G8" s="537"/>
      <c r="H8" s="537"/>
      <c r="I8" s="537"/>
      <c r="J8" s="537"/>
      <c r="K8" s="537"/>
    </row>
    <row r="9" spans="1:11" ht="18" customHeight="1">
      <c r="A9" s="536"/>
      <c r="B9" s="543" t="s">
        <v>225</v>
      </c>
      <c r="C9" s="543" t="s">
        <v>144</v>
      </c>
      <c r="D9" s="544" t="s">
        <v>404</v>
      </c>
      <c r="E9" s="545" t="e">
        <v>#REF!</v>
      </c>
      <c r="F9" s="537"/>
      <c r="G9" s="537"/>
      <c r="H9" s="537"/>
      <c r="I9" s="537"/>
      <c r="J9" s="537"/>
      <c r="K9" s="537"/>
    </row>
    <row r="10" spans="1:11" ht="21" customHeight="1">
      <c r="A10" s="536"/>
      <c r="B10" s="1449" t="s">
        <v>405</v>
      </c>
      <c r="C10" s="1450"/>
      <c r="D10" s="546">
        <v>3</v>
      </c>
      <c r="E10" s="547"/>
      <c r="F10" s="537"/>
      <c r="G10" s="537"/>
      <c r="H10" s="537"/>
      <c r="I10" s="537"/>
      <c r="J10" s="537"/>
      <c r="K10" s="537"/>
    </row>
    <row r="11" spans="1:11" ht="15.75" customHeight="1">
      <c r="A11" s="536"/>
      <c r="B11" s="1447" t="s">
        <v>455</v>
      </c>
      <c r="C11" s="1447"/>
      <c r="D11" s="1447"/>
      <c r="E11" s="1447"/>
      <c r="F11" s="537"/>
      <c r="G11" s="537"/>
      <c r="H11" s="537"/>
      <c r="I11" s="537"/>
      <c r="J11" s="537"/>
      <c r="K11" s="537"/>
    </row>
    <row r="12" spans="1:11" ht="18" customHeight="1">
      <c r="A12" s="536"/>
      <c r="B12" s="543" t="s">
        <v>18</v>
      </c>
      <c r="C12" s="543" t="s">
        <v>141</v>
      </c>
      <c r="D12" s="544" t="s">
        <v>404</v>
      </c>
      <c r="E12" s="548" t="e">
        <v>#REF!</v>
      </c>
      <c r="F12" s="537"/>
      <c r="G12" s="537"/>
      <c r="H12" s="537"/>
      <c r="I12" s="537"/>
      <c r="J12" s="537"/>
      <c r="K12" s="537"/>
    </row>
    <row r="13" spans="1:11" ht="18" customHeight="1">
      <c r="A13" s="536"/>
      <c r="B13" s="543" t="s">
        <v>18</v>
      </c>
      <c r="C13" s="543" t="s">
        <v>487</v>
      </c>
      <c r="D13" s="544" t="s">
        <v>404</v>
      </c>
      <c r="E13" s="548" t="e">
        <v>#REF!</v>
      </c>
      <c r="F13" s="537"/>
      <c r="G13" s="537"/>
      <c r="H13" s="537"/>
      <c r="I13" s="537"/>
      <c r="J13" s="537"/>
      <c r="K13" s="537"/>
    </row>
    <row r="14" spans="1:11" ht="18" customHeight="1">
      <c r="A14" s="536"/>
      <c r="B14" s="543" t="s">
        <v>16</v>
      </c>
      <c r="C14" s="543" t="s">
        <v>488</v>
      </c>
      <c r="D14" s="544" t="s">
        <v>404</v>
      </c>
      <c r="E14" s="548" t="e">
        <v>#REF!</v>
      </c>
      <c r="F14" s="537"/>
      <c r="G14" s="537"/>
      <c r="H14" s="537"/>
      <c r="I14" s="537"/>
      <c r="J14" s="537"/>
      <c r="K14" s="537"/>
    </row>
    <row r="15" spans="1:11" ht="18" customHeight="1">
      <c r="A15" s="536"/>
      <c r="B15" s="543" t="s">
        <v>13</v>
      </c>
      <c r="C15" s="543" t="s">
        <v>489</v>
      </c>
      <c r="D15" s="544" t="s">
        <v>404</v>
      </c>
      <c r="E15" s="548" t="e">
        <v>#REF!</v>
      </c>
      <c r="F15" s="537"/>
      <c r="G15" s="537"/>
      <c r="H15" s="537"/>
      <c r="I15" s="537"/>
      <c r="J15" s="537"/>
      <c r="K15" s="537"/>
    </row>
    <row r="16" spans="1:11" ht="18" customHeight="1">
      <c r="A16" s="536"/>
      <c r="B16" s="543" t="s">
        <v>13</v>
      </c>
      <c r="C16" s="543" t="s">
        <v>235</v>
      </c>
      <c r="D16" s="1442" t="s">
        <v>406</v>
      </c>
      <c r="E16" s="1444" t="e">
        <v>#REF!</v>
      </c>
      <c r="F16" s="537"/>
      <c r="G16" s="537"/>
      <c r="H16" s="537"/>
      <c r="I16" s="537"/>
      <c r="J16" s="537"/>
      <c r="K16" s="537"/>
    </row>
    <row r="17" spans="1:11" ht="18" customHeight="1">
      <c r="A17" s="536"/>
      <c r="B17" s="543" t="s">
        <v>13</v>
      </c>
      <c r="C17" s="543" t="s">
        <v>235</v>
      </c>
      <c r="D17" s="1443"/>
      <c r="E17" s="1444"/>
      <c r="F17" s="537"/>
      <c r="G17" s="537"/>
      <c r="H17" s="537"/>
      <c r="I17" s="537"/>
      <c r="J17" s="537"/>
      <c r="K17" s="537"/>
    </row>
    <row r="18" spans="1:11" ht="18" customHeight="1">
      <c r="A18" s="536"/>
      <c r="B18" s="543" t="s">
        <v>224</v>
      </c>
      <c r="C18" s="543" t="s">
        <v>490</v>
      </c>
      <c r="D18" s="544" t="s">
        <v>404</v>
      </c>
      <c r="E18" s="548" t="e">
        <v>#REF!</v>
      </c>
      <c r="F18" s="537"/>
      <c r="G18" s="537"/>
      <c r="H18" s="537"/>
      <c r="I18" s="537"/>
      <c r="J18" s="537"/>
      <c r="K18" s="537"/>
    </row>
    <row r="19" spans="1:11" ht="21" customHeight="1">
      <c r="A19" s="536"/>
      <c r="B19" s="1445" t="s">
        <v>405</v>
      </c>
      <c r="C19" s="1446"/>
      <c r="D19" s="549">
        <v>6</v>
      </c>
      <c r="E19" s="547"/>
      <c r="F19" s="537"/>
      <c r="G19" s="537"/>
      <c r="H19" s="537"/>
      <c r="I19" s="537"/>
      <c r="J19" s="537"/>
      <c r="K19" s="537"/>
    </row>
    <row r="20" spans="1:11" ht="15.75" customHeight="1">
      <c r="A20" s="536"/>
      <c r="B20" s="1447" t="s">
        <v>456</v>
      </c>
      <c r="C20" s="1447"/>
      <c r="D20" s="1447"/>
      <c r="E20" s="1447"/>
      <c r="F20" s="537"/>
      <c r="G20" s="537"/>
      <c r="H20" s="537"/>
      <c r="I20" s="537"/>
      <c r="J20" s="537"/>
      <c r="K20" s="537"/>
    </row>
    <row r="21" spans="1:11" ht="18" customHeight="1">
      <c r="A21" s="536"/>
      <c r="B21" s="540" t="s">
        <v>7</v>
      </c>
      <c r="C21" s="540" t="s">
        <v>234</v>
      </c>
      <c r="D21" s="541" t="s">
        <v>407</v>
      </c>
      <c r="E21" s="542" t="e">
        <v>#REF!</v>
      </c>
      <c r="F21" s="537"/>
      <c r="G21" s="537"/>
      <c r="H21" s="537"/>
      <c r="I21" s="537"/>
      <c r="J21" s="537"/>
      <c r="K21" s="537"/>
    </row>
    <row r="22" spans="1:11" ht="18" customHeight="1">
      <c r="A22" s="536"/>
      <c r="B22" s="540" t="s">
        <v>491</v>
      </c>
      <c r="C22" s="540" t="s">
        <v>408</v>
      </c>
      <c r="D22" s="541" t="s">
        <v>403</v>
      </c>
      <c r="E22" s="542" t="e">
        <v>#REF!</v>
      </c>
      <c r="F22" s="537"/>
      <c r="G22" s="537"/>
      <c r="H22" s="537"/>
      <c r="I22" s="537"/>
      <c r="J22" s="537"/>
      <c r="K22" s="537"/>
    </row>
    <row r="23" spans="1:11" ht="18" customHeight="1">
      <c r="A23" s="536"/>
      <c r="B23" s="540" t="s">
        <v>409</v>
      </c>
      <c r="C23" s="540" t="s">
        <v>410</v>
      </c>
      <c r="D23" s="541" t="s">
        <v>403</v>
      </c>
      <c r="E23" s="542">
        <v>0.49</v>
      </c>
      <c r="F23" s="537"/>
      <c r="G23" s="537"/>
      <c r="H23" s="537"/>
      <c r="I23" s="537"/>
      <c r="J23" s="537"/>
      <c r="K23" s="537"/>
    </row>
    <row r="24" spans="1:11" ht="18" customHeight="1">
      <c r="A24" s="536"/>
      <c r="B24" s="543" t="s">
        <v>13</v>
      </c>
      <c r="C24" s="543" t="s">
        <v>495</v>
      </c>
      <c r="D24" s="544" t="s">
        <v>411</v>
      </c>
      <c r="E24" s="548" t="e">
        <v>#REF!</v>
      </c>
      <c r="F24" s="537"/>
      <c r="G24" s="537"/>
      <c r="H24" s="537"/>
      <c r="I24" s="537"/>
      <c r="J24" s="537"/>
      <c r="K24" s="537"/>
    </row>
    <row r="25" spans="1:11" ht="18" customHeight="1">
      <c r="A25" s="536"/>
      <c r="B25" s="543" t="s">
        <v>19</v>
      </c>
      <c r="C25" s="543" t="s">
        <v>412</v>
      </c>
      <c r="D25" s="544" t="s">
        <v>413</v>
      </c>
      <c r="E25" s="548" t="e">
        <v>#REF!</v>
      </c>
      <c r="F25" s="537"/>
      <c r="G25" s="537"/>
      <c r="H25" s="537"/>
      <c r="I25" s="537"/>
      <c r="J25" s="537"/>
      <c r="K25" s="537"/>
    </row>
    <row r="26" spans="1:11" ht="18" customHeight="1">
      <c r="A26" s="536"/>
      <c r="B26" s="543" t="s">
        <v>19</v>
      </c>
      <c r="C26" s="543" t="s">
        <v>412</v>
      </c>
      <c r="D26" s="544" t="s">
        <v>414</v>
      </c>
      <c r="E26" s="548" t="e">
        <v>#REF!</v>
      </c>
      <c r="F26" s="537"/>
      <c r="G26" s="537"/>
      <c r="H26" s="537"/>
      <c r="I26" s="537"/>
      <c r="J26" s="537"/>
      <c r="K26" s="537"/>
    </row>
    <row r="27" spans="1:11" ht="18" customHeight="1">
      <c r="A27" s="536"/>
      <c r="B27" s="543" t="s">
        <v>28</v>
      </c>
      <c r="C27" s="543" t="s">
        <v>492</v>
      </c>
      <c r="D27" s="544" t="s">
        <v>404</v>
      </c>
      <c r="E27" s="548" t="e">
        <v>#REF!</v>
      </c>
      <c r="F27" s="537"/>
      <c r="G27" s="537"/>
      <c r="H27" s="537"/>
      <c r="I27" s="537"/>
      <c r="J27" s="537"/>
      <c r="K27" s="537"/>
    </row>
    <row r="28" spans="1:11" ht="18" customHeight="1">
      <c r="A28" s="536"/>
      <c r="B28" s="543" t="s">
        <v>35</v>
      </c>
      <c r="C28" s="543" t="s">
        <v>493</v>
      </c>
      <c r="D28" s="544" t="s">
        <v>404</v>
      </c>
      <c r="E28" s="548" t="e">
        <v>#REF!</v>
      </c>
      <c r="F28" s="537"/>
      <c r="G28" s="537"/>
      <c r="H28" s="537"/>
      <c r="I28" s="537"/>
      <c r="J28" s="537"/>
      <c r="K28" s="537"/>
    </row>
    <row r="29" spans="1:11" ht="18" customHeight="1">
      <c r="A29" s="536"/>
      <c r="B29" s="543" t="s">
        <v>35</v>
      </c>
      <c r="C29" s="543" t="s">
        <v>494</v>
      </c>
      <c r="D29" s="544" t="s">
        <v>404</v>
      </c>
      <c r="E29" s="548" t="e">
        <v>#REF!</v>
      </c>
      <c r="F29" s="537"/>
      <c r="G29" s="537"/>
      <c r="H29" s="537"/>
      <c r="I29" s="537"/>
      <c r="J29" s="537"/>
      <c r="K29" s="537"/>
    </row>
    <row r="30" spans="1:11" ht="18" customHeight="1">
      <c r="A30" s="536"/>
      <c r="B30" s="550" t="s">
        <v>28</v>
      </c>
      <c r="C30" s="550" t="s">
        <v>28</v>
      </c>
      <c r="D30" s="551" t="s">
        <v>415</v>
      </c>
      <c r="E30" s="552" t="e">
        <v>#REF!</v>
      </c>
      <c r="F30" s="537"/>
      <c r="G30" s="537"/>
      <c r="H30" s="537"/>
      <c r="I30" s="537"/>
      <c r="J30" s="537"/>
      <c r="K30" s="537"/>
    </row>
    <row r="31" spans="1:11" ht="21" customHeight="1">
      <c r="A31" s="536"/>
      <c r="B31" s="1445" t="s">
        <v>405</v>
      </c>
      <c r="C31" s="1446"/>
      <c r="D31" s="549">
        <v>6</v>
      </c>
      <c r="E31" s="547"/>
      <c r="F31" s="537"/>
      <c r="G31" s="537"/>
      <c r="H31" s="537"/>
      <c r="I31" s="537"/>
      <c r="J31" s="537"/>
      <c r="K31" s="537"/>
    </row>
    <row r="32" spans="1:11" ht="15.75" customHeight="1">
      <c r="A32" s="536"/>
      <c r="B32" s="1447" t="s">
        <v>457</v>
      </c>
      <c r="C32" s="1447"/>
      <c r="D32" s="1447"/>
      <c r="E32" s="1447"/>
      <c r="F32" s="537"/>
      <c r="G32" s="537"/>
      <c r="H32" s="537"/>
      <c r="I32" s="537"/>
      <c r="J32" s="537"/>
      <c r="K32" s="537"/>
    </row>
    <row r="33" spans="1:11" ht="49.5" customHeight="1">
      <c r="A33" s="536"/>
      <c r="B33" s="540" t="s">
        <v>31</v>
      </c>
      <c r="C33" s="553" t="s">
        <v>498</v>
      </c>
      <c r="D33" s="541" t="s">
        <v>403</v>
      </c>
      <c r="E33" s="542"/>
      <c r="F33" s="537"/>
      <c r="G33" s="537"/>
      <c r="H33" s="537"/>
      <c r="I33" s="537"/>
      <c r="J33" s="537"/>
      <c r="K33" s="537"/>
    </row>
    <row r="34" spans="1:11" ht="18" customHeight="1">
      <c r="A34" s="536"/>
      <c r="B34" s="543" t="s">
        <v>13</v>
      </c>
      <c r="C34" s="543" t="s">
        <v>495</v>
      </c>
      <c r="D34" s="544" t="s">
        <v>416</v>
      </c>
      <c r="E34" s="548" t="e">
        <v>#REF!</v>
      </c>
      <c r="F34" s="537"/>
      <c r="G34" s="537"/>
      <c r="H34" s="537"/>
      <c r="I34" s="537"/>
      <c r="J34" s="537"/>
      <c r="K34" s="537"/>
    </row>
    <row r="35" spans="1:11" ht="18" customHeight="1">
      <c r="A35" s="536"/>
      <c r="B35" s="554" t="s">
        <v>18</v>
      </c>
      <c r="C35" s="555" t="s">
        <v>497</v>
      </c>
      <c r="D35" s="544" t="s">
        <v>496</v>
      </c>
      <c r="E35" s="548" t="e">
        <v>#REF!</v>
      </c>
      <c r="F35" s="537"/>
      <c r="G35" s="537"/>
      <c r="H35" s="537"/>
      <c r="I35" s="537"/>
      <c r="J35" s="537"/>
      <c r="K35" s="537"/>
    </row>
    <row r="36" spans="1:11" ht="18" customHeight="1">
      <c r="A36" s="536"/>
      <c r="B36" s="543" t="s">
        <v>28</v>
      </c>
      <c r="C36" s="543" t="s">
        <v>28</v>
      </c>
      <c r="D36" s="544" t="s">
        <v>417</v>
      </c>
      <c r="E36" s="548" t="e">
        <v>#REF!</v>
      </c>
      <c r="F36" s="537"/>
      <c r="G36" s="537"/>
      <c r="H36" s="537"/>
      <c r="I36" s="537"/>
      <c r="J36" s="537"/>
      <c r="K36" s="537"/>
    </row>
    <row r="37" spans="1:11" ht="18" customHeight="1">
      <c r="A37" s="536"/>
      <c r="B37" s="543" t="s">
        <v>424</v>
      </c>
      <c r="C37" s="543" t="s">
        <v>469</v>
      </c>
      <c r="D37" s="544" t="s">
        <v>404</v>
      </c>
      <c r="E37" s="548" t="e">
        <v>#REF!</v>
      </c>
      <c r="F37" s="537"/>
      <c r="G37" s="537"/>
      <c r="H37" s="537"/>
      <c r="I37" s="537"/>
      <c r="J37" s="537"/>
      <c r="K37" s="537"/>
    </row>
    <row r="38" spans="1:11" ht="21" customHeight="1">
      <c r="A38" s="536"/>
      <c r="B38" s="1440" t="s">
        <v>405</v>
      </c>
      <c r="C38" s="1441"/>
      <c r="D38" s="549">
        <v>4</v>
      </c>
      <c r="E38" s="547"/>
      <c r="F38" s="537"/>
      <c r="G38" s="537"/>
      <c r="H38" s="537"/>
      <c r="I38" s="537"/>
      <c r="J38" s="537"/>
      <c r="K38" s="537"/>
    </row>
    <row r="39" spans="1:11" ht="13.5" customHeight="1">
      <c r="A39" s="536"/>
      <c r="B39" s="556"/>
      <c r="C39" s="556"/>
      <c r="D39" s="557"/>
      <c r="E39" s="558"/>
      <c r="F39" s="537"/>
      <c r="G39" s="537"/>
      <c r="H39" s="537"/>
      <c r="I39" s="537"/>
      <c r="J39" s="537"/>
      <c r="K39" s="537"/>
    </row>
    <row r="40" spans="1:11" s="533" customFormat="1" ht="18" customHeight="1">
      <c r="A40" s="559"/>
      <c r="B40" s="561" t="s">
        <v>4</v>
      </c>
      <c r="C40" s="561"/>
      <c r="D40" s="560">
        <v>19</v>
      </c>
      <c r="E40" s="562"/>
      <c r="F40" s="563"/>
      <c r="G40" s="563"/>
      <c r="H40" s="563"/>
      <c r="I40" s="563"/>
      <c r="J40" s="563"/>
      <c r="K40" s="563"/>
    </row>
    <row r="41" spans="1:11">
      <c r="A41" s="536"/>
      <c r="B41" s="537"/>
      <c r="E41" s="537"/>
      <c r="F41" s="537"/>
      <c r="G41" s="537"/>
      <c r="H41" s="537"/>
      <c r="I41" s="537"/>
      <c r="J41" s="537"/>
      <c r="K41" s="537"/>
    </row>
    <row r="42" spans="1:11">
      <c r="A42" s="536"/>
      <c r="B42" s="537"/>
      <c r="C42" s="537"/>
      <c r="D42" s="619" t="s">
        <v>418</v>
      </c>
      <c r="E42" s="564"/>
      <c r="F42" s="537"/>
      <c r="G42" s="537"/>
      <c r="H42" s="537"/>
      <c r="I42" s="537"/>
      <c r="J42" s="537"/>
      <c r="K42" s="537"/>
    </row>
    <row r="43" spans="1:11">
      <c r="A43" s="536"/>
      <c r="D43" s="620" t="s">
        <v>292</v>
      </c>
      <c r="E43" s="533"/>
      <c r="F43" s="537"/>
      <c r="G43" s="537"/>
      <c r="H43" s="537"/>
      <c r="I43" s="537"/>
      <c r="J43" s="537"/>
      <c r="K43" s="537"/>
    </row>
    <row r="44" spans="1:11">
      <c r="A44" s="536"/>
      <c r="B44" s="537"/>
      <c r="C44" s="537"/>
      <c r="D44" s="621" t="s">
        <v>419</v>
      </c>
      <c r="E44" s="563"/>
      <c r="F44" s="537"/>
      <c r="G44" s="537"/>
      <c r="H44" s="537"/>
      <c r="I44" s="537"/>
      <c r="J44" s="537"/>
      <c r="K44" s="537"/>
    </row>
    <row r="45" spans="1:11">
      <c r="A45" s="536"/>
      <c r="B45" s="563" t="s">
        <v>458</v>
      </c>
      <c r="C45" s="565"/>
      <c r="D45" s="565"/>
      <c r="E45" s="565"/>
      <c r="F45" s="537"/>
      <c r="G45" s="537"/>
      <c r="H45" s="537"/>
      <c r="I45" s="537"/>
      <c r="J45" s="537"/>
      <c r="K45" s="537"/>
    </row>
    <row r="46" spans="1:11">
      <c r="A46" s="536"/>
      <c r="B46" s="563" t="s">
        <v>420</v>
      </c>
      <c r="C46" s="537"/>
      <c r="D46" s="537"/>
      <c r="E46" s="537"/>
      <c r="F46" s="537"/>
      <c r="G46" s="537"/>
      <c r="H46" s="537"/>
      <c r="I46" s="537"/>
      <c r="J46" s="537"/>
      <c r="K46" s="537"/>
    </row>
    <row r="47" spans="1:11">
      <c r="A47" s="536"/>
      <c r="B47" s="563" t="s">
        <v>421</v>
      </c>
      <c r="C47" s="537"/>
      <c r="D47" s="537"/>
      <c r="E47" s="537"/>
      <c r="F47" s="537"/>
      <c r="G47" s="537"/>
      <c r="H47" s="537"/>
      <c r="I47" s="537"/>
      <c r="J47" s="537"/>
      <c r="K47" s="537"/>
    </row>
    <row r="48" spans="1:11">
      <c r="A48" s="536"/>
      <c r="B48" s="537"/>
      <c r="C48" s="537"/>
      <c r="D48" s="537"/>
      <c r="E48" s="537"/>
      <c r="F48" s="537"/>
      <c r="G48" s="537"/>
      <c r="H48" s="537"/>
      <c r="I48" s="537"/>
      <c r="J48" s="537"/>
      <c r="K48" s="537"/>
    </row>
    <row r="49" spans="1:11">
      <c r="A49" s="536"/>
      <c r="B49" s="537"/>
      <c r="C49" s="537"/>
      <c r="D49" s="537"/>
      <c r="E49" s="537"/>
      <c r="F49" s="537"/>
      <c r="G49" s="537"/>
      <c r="H49" s="537"/>
      <c r="I49" s="537"/>
      <c r="J49" s="537"/>
      <c r="K49" s="537"/>
    </row>
    <row r="50" spans="1:11">
      <c r="A50" s="536"/>
      <c r="B50" s="537"/>
      <c r="C50" s="537"/>
      <c r="D50" s="537"/>
      <c r="E50" s="537"/>
      <c r="F50" s="537"/>
      <c r="G50" s="537"/>
      <c r="H50" s="537"/>
      <c r="I50" s="537"/>
      <c r="J50" s="537"/>
      <c r="K50" s="537"/>
    </row>
    <row r="51" spans="1:11">
      <c r="A51" s="536"/>
      <c r="B51" s="537"/>
      <c r="C51" s="537"/>
      <c r="D51" s="537"/>
      <c r="E51" s="537"/>
      <c r="F51" s="537"/>
      <c r="G51" s="537"/>
      <c r="H51" s="537"/>
      <c r="I51" s="537"/>
      <c r="J51" s="537"/>
      <c r="K51" s="537"/>
    </row>
    <row r="52" spans="1:11">
      <c r="A52" s="536"/>
      <c r="B52" s="537"/>
      <c r="C52" s="537"/>
      <c r="D52" s="537"/>
      <c r="E52" s="537"/>
      <c r="F52" s="537"/>
      <c r="G52" s="537"/>
      <c r="H52" s="537"/>
      <c r="I52" s="537"/>
      <c r="J52" s="537"/>
      <c r="K52" s="537"/>
    </row>
    <row r="53" spans="1:11">
      <c r="A53" s="536"/>
      <c r="B53" s="537"/>
      <c r="C53" s="537"/>
      <c r="D53" s="537"/>
      <c r="E53" s="537"/>
      <c r="F53" s="537"/>
      <c r="G53" s="537"/>
      <c r="H53" s="537"/>
      <c r="I53" s="537"/>
      <c r="J53" s="537"/>
      <c r="K53" s="537"/>
    </row>
    <row r="54" spans="1:11">
      <c r="A54" s="536"/>
      <c r="B54" s="537"/>
      <c r="C54" s="537"/>
      <c r="D54" s="537"/>
      <c r="E54" s="537"/>
      <c r="F54" s="537"/>
      <c r="G54" s="537"/>
      <c r="H54" s="537"/>
      <c r="I54" s="537"/>
      <c r="J54" s="537"/>
      <c r="K54" s="537"/>
    </row>
    <row r="55" spans="1:11">
      <c r="A55" s="536"/>
      <c r="B55" s="537"/>
      <c r="C55" s="537"/>
      <c r="D55" s="537"/>
      <c r="E55" s="537"/>
      <c r="F55" s="537"/>
      <c r="G55" s="537"/>
      <c r="H55" s="537"/>
      <c r="I55" s="537"/>
      <c r="J55" s="537"/>
      <c r="K55" s="537"/>
    </row>
    <row r="56" spans="1:11">
      <c r="A56" s="536"/>
      <c r="B56" s="537"/>
      <c r="C56" s="537"/>
      <c r="D56" s="537"/>
      <c r="E56" s="537"/>
      <c r="F56" s="537"/>
      <c r="G56" s="537"/>
      <c r="H56" s="537"/>
      <c r="I56" s="537"/>
      <c r="J56" s="537"/>
      <c r="K56" s="537"/>
    </row>
    <row r="57" spans="1:11">
      <c r="A57" s="536"/>
      <c r="B57" s="537"/>
      <c r="C57" s="537"/>
      <c r="D57" s="537"/>
      <c r="E57" s="537"/>
      <c r="F57" s="537"/>
      <c r="G57" s="537"/>
      <c r="H57" s="537"/>
      <c r="I57" s="537"/>
      <c r="J57" s="537"/>
      <c r="K57" s="537"/>
    </row>
    <row r="58" spans="1:11">
      <c r="A58" s="536"/>
      <c r="B58" s="537"/>
      <c r="C58" s="537"/>
      <c r="D58" s="537"/>
      <c r="E58" s="537"/>
      <c r="F58" s="537"/>
      <c r="G58" s="537"/>
      <c r="H58" s="537"/>
      <c r="I58" s="537"/>
      <c r="J58" s="537"/>
      <c r="K58" s="537"/>
    </row>
    <row r="59" spans="1:11">
      <c r="A59" s="536"/>
      <c r="B59" s="537"/>
      <c r="C59" s="537"/>
      <c r="D59" s="537"/>
      <c r="E59" s="537"/>
      <c r="F59" s="537"/>
      <c r="G59" s="537"/>
      <c r="H59" s="537"/>
      <c r="I59" s="537"/>
      <c r="J59" s="537"/>
      <c r="K59" s="537"/>
    </row>
    <row r="60" spans="1:11">
      <c r="A60" s="536"/>
      <c r="B60" s="537"/>
      <c r="C60" s="537"/>
      <c r="D60" s="537"/>
      <c r="E60" s="537"/>
      <c r="F60" s="537"/>
      <c r="G60" s="537"/>
      <c r="H60" s="537"/>
      <c r="I60" s="537"/>
      <c r="J60" s="537"/>
      <c r="K60" s="537"/>
    </row>
    <row r="61" spans="1:11">
      <c r="A61" s="536"/>
      <c r="B61" s="537"/>
      <c r="C61" s="537"/>
      <c r="D61" s="537"/>
      <c r="E61" s="537"/>
      <c r="F61" s="537"/>
      <c r="G61" s="537"/>
      <c r="H61" s="537"/>
      <c r="I61" s="537"/>
      <c r="J61" s="537"/>
      <c r="K61" s="537"/>
    </row>
    <row r="62" spans="1:11">
      <c r="A62" s="536"/>
      <c r="B62" s="537"/>
      <c r="C62" s="537"/>
      <c r="D62" s="537"/>
      <c r="E62" s="537"/>
      <c r="F62" s="537"/>
      <c r="G62" s="537"/>
      <c r="H62" s="537"/>
      <c r="I62" s="537"/>
      <c r="J62" s="537"/>
      <c r="K62" s="537"/>
    </row>
    <row r="63" spans="1:11">
      <c r="A63" s="536"/>
      <c r="B63" s="537"/>
      <c r="C63" s="537"/>
      <c r="D63" s="537"/>
      <c r="E63" s="537"/>
      <c r="F63" s="537"/>
      <c r="G63" s="537"/>
      <c r="H63" s="537"/>
      <c r="I63" s="537"/>
      <c r="J63" s="537"/>
      <c r="K63" s="537"/>
    </row>
    <row r="64" spans="1:11">
      <c r="A64" s="536"/>
      <c r="B64" s="537"/>
      <c r="C64" s="537"/>
      <c r="D64" s="537"/>
      <c r="E64" s="537"/>
      <c r="F64" s="537"/>
      <c r="G64" s="537"/>
      <c r="H64" s="537"/>
      <c r="I64" s="537"/>
      <c r="J64" s="537"/>
      <c r="K64" s="537"/>
    </row>
    <row r="65" spans="1:11">
      <c r="A65" s="536"/>
      <c r="B65" s="537"/>
      <c r="C65" s="537"/>
      <c r="D65" s="537"/>
      <c r="E65" s="537"/>
      <c r="F65" s="537"/>
      <c r="G65" s="537"/>
      <c r="H65" s="537"/>
      <c r="I65" s="537"/>
      <c r="J65" s="537"/>
      <c r="K65" s="537"/>
    </row>
    <row r="66" spans="1:11">
      <c r="A66" s="536"/>
      <c r="B66" s="537"/>
      <c r="C66" s="537"/>
      <c r="D66" s="537"/>
      <c r="E66" s="537"/>
      <c r="F66" s="537"/>
      <c r="G66" s="537"/>
      <c r="H66" s="537"/>
      <c r="I66" s="537"/>
      <c r="J66" s="537"/>
      <c r="K66" s="537"/>
    </row>
    <row r="67" spans="1:11">
      <c r="A67" s="536"/>
      <c r="B67" s="537"/>
      <c r="C67" s="537"/>
      <c r="D67" s="537"/>
      <c r="E67" s="537"/>
      <c r="F67" s="537"/>
      <c r="G67" s="537"/>
      <c r="H67" s="537"/>
      <c r="I67" s="537"/>
      <c r="J67" s="537"/>
      <c r="K67" s="537"/>
    </row>
    <row r="68" spans="1:11">
      <c r="A68" s="536"/>
      <c r="B68" s="537"/>
      <c r="C68" s="537"/>
      <c r="D68" s="537"/>
      <c r="E68" s="537"/>
      <c r="F68" s="537"/>
      <c r="G68" s="537"/>
      <c r="H68" s="537"/>
      <c r="I68" s="537"/>
      <c r="J68" s="537"/>
      <c r="K68" s="537"/>
    </row>
    <row r="69" spans="1:11">
      <c r="A69" s="536"/>
      <c r="B69" s="537"/>
      <c r="C69" s="537"/>
      <c r="D69" s="537"/>
      <c r="E69" s="537"/>
      <c r="F69" s="537"/>
      <c r="G69" s="537"/>
      <c r="H69" s="537"/>
      <c r="I69" s="537"/>
      <c r="J69" s="537"/>
      <c r="K69" s="537"/>
    </row>
    <row r="70" spans="1:11">
      <c r="A70" s="536"/>
      <c r="B70" s="537"/>
      <c r="C70" s="537"/>
      <c r="D70" s="537"/>
      <c r="E70" s="537"/>
      <c r="F70" s="537"/>
      <c r="G70" s="537"/>
      <c r="H70" s="537"/>
      <c r="I70" s="537"/>
      <c r="J70" s="537"/>
      <c r="K70" s="537"/>
    </row>
    <row r="71" spans="1:11">
      <c r="A71" s="536"/>
      <c r="B71" s="537"/>
      <c r="C71" s="537"/>
      <c r="D71" s="537"/>
      <c r="E71" s="537"/>
      <c r="F71" s="537"/>
      <c r="G71" s="537"/>
      <c r="H71" s="537"/>
      <c r="I71" s="537"/>
      <c r="J71" s="537"/>
      <c r="K71" s="537"/>
    </row>
    <row r="72" spans="1:11">
      <c r="A72" s="536"/>
      <c r="B72" s="537"/>
      <c r="C72" s="537"/>
      <c r="D72" s="537"/>
      <c r="E72" s="537"/>
      <c r="F72" s="537"/>
      <c r="G72" s="537"/>
      <c r="H72" s="537"/>
      <c r="I72" s="537"/>
      <c r="J72" s="537"/>
      <c r="K72" s="537"/>
    </row>
    <row r="73" spans="1:11">
      <c r="A73" s="536"/>
      <c r="B73" s="537"/>
      <c r="C73" s="537"/>
      <c r="D73" s="537"/>
      <c r="E73" s="537"/>
      <c r="F73" s="537"/>
      <c r="G73" s="537"/>
      <c r="H73" s="537"/>
      <c r="I73" s="537"/>
      <c r="J73" s="537"/>
      <c r="K73" s="537"/>
    </row>
    <row r="74" spans="1:11">
      <c r="A74" s="536"/>
      <c r="B74" s="537"/>
      <c r="C74" s="537"/>
      <c r="D74" s="537"/>
      <c r="E74" s="537"/>
      <c r="F74" s="537"/>
      <c r="G74" s="537"/>
      <c r="H74" s="537"/>
      <c r="I74" s="537"/>
      <c r="J74" s="537"/>
      <c r="K74" s="537"/>
    </row>
    <row r="75" spans="1:11">
      <c r="A75" s="536"/>
      <c r="B75" s="537"/>
      <c r="C75" s="537"/>
      <c r="D75" s="537"/>
      <c r="E75" s="537"/>
      <c r="F75" s="537"/>
      <c r="G75" s="537"/>
      <c r="H75" s="537"/>
      <c r="I75" s="537"/>
      <c r="J75" s="537"/>
      <c r="K75" s="537"/>
    </row>
    <row r="76" spans="1:11">
      <c r="A76" s="536"/>
      <c r="B76" s="537"/>
      <c r="C76" s="537"/>
      <c r="D76" s="537"/>
      <c r="E76" s="537"/>
      <c r="F76" s="537"/>
      <c r="G76" s="537"/>
      <c r="H76" s="537"/>
      <c r="I76" s="537"/>
      <c r="J76" s="537"/>
      <c r="K76" s="537"/>
    </row>
    <row r="77" spans="1:11">
      <c r="A77" s="536"/>
      <c r="B77" s="537"/>
      <c r="C77" s="537"/>
      <c r="D77" s="537"/>
      <c r="E77" s="537"/>
      <c r="F77" s="537"/>
      <c r="G77" s="537"/>
      <c r="H77" s="537"/>
      <c r="I77" s="537"/>
      <c r="J77" s="537"/>
      <c r="K77" s="537"/>
    </row>
    <row r="78" spans="1:11">
      <c r="A78" s="536"/>
      <c r="B78" s="537"/>
      <c r="C78" s="537"/>
      <c r="D78" s="537"/>
      <c r="E78" s="537"/>
      <c r="F78" s="537"/>
      <c r="G78" s="537"/>
      <c r="H78" s="537"/>
      <c r="I78" s="537"/>
      <c r="J78" s="537"/>
      <c r="K78" s="537"/>
    </row>
    <row r="79" spans="1:11">
      <c r="A79" s="536"/>
      <c r="B79" s="537"/>
      <c r="C79" s="537"/>
      <c r="D79" s="537"/>
      <c r="E79" s="537"/>
      <c r="F79" s="537"/>
      <c r="G79" s="537"/>
      <c r="H79" s="537"/>
      <c r="I79" s="537"/>
      <c r="J79" s="537"/>
      <c r="K79" s="537"/>
    </row>
    <row r="80" spans="1:11">
      <c r="A80" s="536"/>
      <c r="B80" s="537"/>
      <c r="C80" s="537"/>
      <c r="D80" s="537"/>
      <c r="E80" s="537"/>
      <c r="F80" s="537"/>
      <c r="G80" s="537"/>
      <c r="H80" s="537"/>
      <c r="I80" s="537"/>
      <c r="J80" s="537"/>
      <c r="K80" s="537"/>
    </row>
    <row r="81" spans="1:11">
      <c r="A81" s="536"/>
      <c r="B81" s="537"/>
      <c r="C81" s="537"/>
      <c r="D81" s="537"/>
      <c r="E81" s="537"/>
      <c r="F81" s="537"/>
      <c r="G81" s="537"/>
      <c r="H81" s="537"/>
      <c r="I81" s="537"/>
      <c r="J81" s="537"/>
      <c r="K81" s="537"/>
    </row>
    <row r="82" spans="1:11">
      <c r="A82" s="536"/>
      <c r="B82" s="537"/>
      <c r="C82" s="537"/>
      <c r="D82" s="537"/>
      <c r="E82" s="537"/>
      <c r="F82" s="537"/>
      <c r="G82" s="537"/>
      <c r="H82" s="537"/>
      <c r="I82" s="537"/>
      <c r="J82" s="537"/>
      <c r="K82" s="537"/>
    </row>
    <row r="83" spans="1:11">
      <c r="A83" s="536"/>
      <c r="B83" s="537"/>
      <c r="C83" s="537"/>
      <c r="D83" s="537"/>
      <c r="E83" s="537"/>
      <c r="F83" s="537"/>
      <c r="G83" s="537"/>
      <c r="H83" s="537"/>
      <c r="I83" s="537"/>
      <c r="J83" s="537"/>
      <c r="K83" s="537"/>
    </row>
    <row r="84" spans="1:11">
      <c r="A84" s="536"/>
      <c r="B84" s="537"/>
      <c r="C84" s="537"/>
      <c r="D84" s="537"/>
      <c r="E84" s="537"/>
      <c r="F84" s="537"/>
      <c r="G84" s="537"/>
      <c r="H84" s="537"/>
      <c r="I84" s="537"/>
      <c r="J84" s="537"/>
      <c r="K84" s="537"/>
    </row>
    <row r="85" spans="1:11">
      <c r="A85" s="536"/>
      <c r="B85" s="537"/>
      <c r="C85" s="537"/>
      <c r="D85" s="537"/>
      <c r="E85" s="537"/>
      <c r="F85" s="537"/>
      <c r="G85" s="537"/>
      <c r="H85" s="537"/>
      <c r="I85" s="537"/>
      <c r="J85" s="537"/>
      <c r="K85" s="537"/>
    </row>
    <row r="86" spans="1:11">
      <c r="A86" s="536"/>
      <c r="B86" s="537"/>
      <c r="C86" s="537"/>
      <c r="D86" s="537"/>
      <c r="E86" s="537"/>
      <c r="F86" s="537"/>
      <c r="G86" s="537"/>
      <c r="H86" s="537"/>
      <c r="I86" s="537"/>
      <c r="J86" s="537"/>
      <c r="K86" s="537"/>
    </row>
    <row r="87" spans="1:11">
      <c r="A87" s="536"/>
      <c r="B87" s="537"/>
      <c r="C87" s="537"/>
      <c r="D87" s="537"/>
      <c r="E87" s="537"/>
      <c r="F87" s="537"/>
      <c r="G87" s="537"/>
      <c r="H87" s="537"/>
      <c r="I87" s="537"/>
      <c r="J87" s="537"/>
      <c r="K87" s="537"/>
    </row>
    <row r="88" spans="1:11">
      <c r="A88" s="536"/>
      <c r="B88" s="537"/>
      <c r="C88" s="537"/>
      <c r="D88" s="537"/>
      <c r="E88" s="537"/>
      <c r="F88" s="537"/>
      <c r="G88" s="537"/>
      <c r="H88" s="537"/>
      <c r="I88" s="537"/>
      <c r="J88" s="537"/>
      <c r="K88" s="537"/>
    </row>
    <row r="89" spans="1:11">
      <c r="A89" s="536"/>
      <c r="B89" s="537"/>
      <c r="C89" s="537"/>
      <c r="D89" s="537"/>
      <c r="E89" s="537"/>
      <c r="F89" s="537"/>
      <c r="G89" s="537"/>
      <c r="H89" s="537"/>
      <c r="I89" s="537"/>
      <c r="J89" s="537"/>
      <c r="K89" s="537"/>
    </row>
    <row r="90" spans="1:11">
      <c r="A90" s="536"/>
      <c r="B90" s="537"/>
      <c r="C90" s="537"/>
      <c r="D90" s="537"/>
      <c r="E90" s="537"/>
      <c r="F90" s="537"/>
      <c r="G90" s="537"/>
      <c r="H90" s="537"/>
      <c r="I90" s="537"/>
      <c r="J90" s="537"/>
      <c r="K90" s="537"/>
    </row>
    <row r="91" spans="1:11">
      <c r="A91" s="536"/>
      <c r="B91" s="537"/>
      <c r="C91" s="537"/>
      <c r="D91" s="537"/>
      <c r="E91" s="537"/>
      <c r="F91" s="537"/>
      <c r="G91" s="537"/>
      <c r="H91" s="537"/>
      <c r="I91" s="537"/>
      <c r="J91" s="537"/>
      <c r="K91" s="537"/>
    </row>
    <row r="92" spans="1:11">
      <c r="A92" s="536"/>
      <c r="B92" s="537"/>
      <c r="C92" s="537"/>
      <c r="D92" s="537"/>
      <c r="E92" s="537"/>
      <c r="F92" s="537"/>
      <c r="G92" s="537"/>
      <c r="H92" s="537"/>
      <c r="I92" s="537"/>
      <c r="J92" s="537"/>
      <c r="K92" s="537"/>
    </row>
    <row r="93" spans="1:11">
      <c r="A93" s="536"/>
      <c r="B93" s="537"/>
      <c r="C93" s="537"/>
      <c r="D93" s="537"/>
      <c r="E93" s="537"/>
      <c r="F93" s="537"/>
      <c r="G93" s="537"/>
      <c r="H93" s="537"/>
      <c r="I93" s="537"/>
      <c r="J93" s="537"/>
      <c r="K93" s="537"/>
    </row>
    <row r="94" spans="1:11">
      <c r="A94" s="536"/>
      <c r="B94" s="537"/>
      <c r="C94" s="537"/>
      <c r="D94" s="537"/>
      <c r="E94" s="537"/>
      <c r="F94" s="537"/>
      <c r="G94" s="537"/>
      <c r="H94" s="537"/>
      <c r="I94" s="537"/>
      <c r="J94" s="537"/>
      <c r="K94" s="537"/>
    </row>
    <row r="95" spans="1:11">
      <c r="A95" s="536"/>
      <c r="B95" s="537"/>
      <c r="C95" s="537"/>
      <c r="D95" s="537"/>
      <c r="E95" s="537"/>
      <c r="F95" s="537"/>
      <c r="G95" s="537"/>
      <c r="H95" s="537"/>
      <c r="I95" s="537"/>
      <c r="J95" s="537"/>
      <c r="K95" s="537"/>
    </row>
    <row r="96" spans="1:11">
      <c r="A96" s="536"/>
      <c r="B96" s="537"/>
      <c r="C96" s="537"/>
      <c r="D96" s="537"/>
      <c r="E96" s="537"/>
      <c r="F96" s="537"/>
      <c r="G96" s="537"/>
      <c r="H96" s="537"/>
      <c r="I96" s="537"/>
      <c r="J96" s="537"/>
      <c r="K96" s="537"/>
    </row>
    <row r="97" spans="1:11">
      <c r="A97" s="536"/>
      <c r="B97" s="537"/>
      <c r="C97" s="537"/>
      <c r="D97" s="537"/>
      <c r="E97" s="537"/>
      <c r="F97" s="537"/>
      <c r="G97" s="537"/>
      <c r="H97" s="537"/>
      <c r="I97" s="537"/>
      <c r="J97" s="537"/>
      <c r="K97" s="537"/>
    </row>
    <row r="98" spans="1:11">
      <c r="A98" s="536"/>
      <c r="B98" s="537"/>
      <c r="C98" s="537"/>
      <c r="D98" s="537"/>
      <c r="E98" s="537"/>
      <c r="F98" s="537"/>
      <c r="G98" s="537"/>
      <c r="H98" s="537"/>
      <c r="I98" s="537"/>
      <c r="J98" s="537"/>
      <c r="K98" s="537"/>
    </row>
    <row r="99" spans="1:11">
      <c r="A99" s="536"/>
      <c r="B99" s="537"/>
      <c r="C99" s="537"/>
      <c r="D99" s="537"/>
      <c r="E99" s="537"/>
      <c r="F99" s="537"/>
      <c r="G99" s="537"/>
      <c r="H99" s="537"/>
      <c r="I99" s="537"/>
      <c r="J99" s="537"/>
      <c r="K99" s="537"/>
    </row>
    <row r="100" spans="1:11">
      <c r="A100" s="536"/>
      <c r="B100" s="537"/>
      <c r="C100" s="537"/>
      <c r="D100" s="537"/>
      <c r="E100" s="537"/>
      <c r="F100" s="537"/>
      <c r="G100" s="537"/>
      <c r="H100" s="537"/>
      <c r="I100" s="537"/>
      <c r="J100" s="537"/>
      <c r="K100" s="537"/>
    </row>
    <row r="101" spans="1:11">
      <c r="A101" s="536"/>
      <c r="B101" s="537"/>
      <c r="C101" s="537"/>
      <c r="D101" s="537"/>
      <c r="E101" s="537"/>
      <c r="F101" s="537"/>
      <c r="G101" s="537"/>
      <c r="H101" s="537"/>
      <c r="I101" s="537"/>
      <c r="J101" s="537"/>
      <c r="K101" s="537"/>
    </row>
    <row r="102" spans="1:11">
      <c r="A102" s="536"/>
      <c r="B102" s="537"/>
      <c r="C102" s="537"/>
      <c r="D102" s="537"/>
      <c r="E102" s="537"/>
      <c r="F102" s="537"/>
      <c r="G102" s="537"/>
      <c r="H102" s="537"/>
      <c r="I102" s="537"/>
      <c r="J102" s="537"/>
      <c r="K102" s="537"/>
    </row>
    <row r="103" spans="1:11">
      <c r="A103" s="536"/>
      <c r="B103" s="537"/>
      <c r="C103" s="537"/>
      <c r="D103" s="537"/>
      <c r="E103" s="537"/>
      <c r="F103" s="537"/>
      <c r="G103" s="537"/>
      <c r="H103" s="537"/>
      <c r="I103" s="537"/>
      <c r="J103" s="537"/>
      <c r="K103" s="537"/>
    </row>
    <row r="104" spans="1:11">
      <c r="A104" s="536"/>
      <c r="B104" s="537"/>
      <c r="C104" s="537"/>
      <c r="D104" s="537"/>
      <c r="E104" s="537"/>
      <c r="F104" s="537"/>
      <c r="G104" s="537"/>
      <c r="H104" s="537"/>
      <c r="I104" s="537"/>
      <c r="J104" s="537"/>
      <c r="K104" s="537"/>
    </row>
    <row r="105" spans="1:11">
      <c r="A105" s="536"/>
      <c r="B105" s="537"/>
      <c r="C105" s="537"/>
      <c r="D105" s="537"/>
      <c r="E105" s="537"/>
      <c r="F105" s="537"/>
      <c r="G105" s="537"/>
      <c r="H105" s="537"/>
      <c r="I105" s="537"/>
      <c r="J105" s="537"/>
      <c r="K105" s="537"/>
    </row>
    <row r="106" spans="1:11">
      <c r="A106" s="536"/>
      <c r="B106" s="537"/>
      <c r="C106" s="537"/>
      <c r="D106" s="537"/>
      <c r="E106" s="537"/>
      <c r="F106" s="537"/>
      <c r="G106" s="537"/>
      <c r="H106" s="537"/>
      <c r="I106" s="537"/>
      <c r="J106" s="537"/>
      <c r="K106" s="537"/>
    </row>
    <row r="107" spans="1:11">
      <c r="A107" s="536"/>
      <c r="B107" s="537"/>
      <c r="C107" s="537"/>
      <c r="D107" s="537"/>
      <c r="E107" s="537"/>
      <c r="F107" s="537"/>
      <c r="G107" s="537"/>
      <c r="H107" s="537"/>
      <c r="I107" s="537"/>
      <c r="J107" s="537"/>
      <c r="K107" s="537"/>
    </row>
    <row r="108" spans="1:11">
      <c r="A108" s="536"/>
      <c r="B108" s="537"/>
      <c r="C108" s="537"/>
      <c r="D108" s="537"/>
      <c r="E108" s="537"/>
      <c r="F108" s="537"/>
      <c r="G108" s="537"/>
      <c r="H108" s="537"/>
      <c r="I108" s="537"/>
      <c r="J108" s="537"/>
      <c r="K108" s="537"/>
    </row>
    <row r="109" spans="1:11">
      <c r="A109" s="536"/>
      <c r="B109" s="537"/>
      <c r="C109" s="537"/>
      <c r="D109" s="537"/>
      <c r="E109" s="537"/>
      <c r="F109" s="537"/>
      <c r="G109" s="537"/>
      <c r="H109" s="537"/>
      <c r="I109" s="537"/>
      <c r="J109" s="537"/>
      <c r="K109" s="537"/>
    </row>
    <row r="110" spans="1:11">
      <c r="A110" s="536"/>
      <c r="B110" s="537"/>
      <c r="C110" s="537"/>
      <c r="D110" s="537"/>
      <c r="E110" s="537"/>
      <c r="F110" s="537"/>
      <c r="G110" s="537"/>
      <c r="H110" s="537"/>
      <c r="I110" s="537"/>
      <c r="J110" s="537"/>
      <c r="K110" s="537"/>
    </row>
    <row r="111" spans="1:11">
      <c r="A111" s="536"/>
      <c r="B111" s="537"/>
      <c r="C111" s="537"/>
      <c r="D111" s="537"/>
      <c r="E111" s="537"/>
      <c r="F111" s="537"/>
      <c r="G111" s="537"/>
      <c r="H111" s="537"/>
      <c r="I111" s="537"/>
      <c r="J111" s="537"/>
      <c r="K111" s="537"/>
    </row>
    <row r="112" spans="1:11">
      <c r="A112" s="536"/>
      <c r="B112" s="537"/>
      <c r="C112" s="537"/>
      <c r="D112" s="537"/>
      <c r="E112" s="537"/>
      <c r="F112" s="537"/>
      <c r="G112" s="537"/>
      <c r="H112" s="537"/>
      <c r="I112" s="537"/>
      <c r="J112" s="537"/>
      <c r="K112" s="537"/>
    </row>
    <row r="113" spans="1:11">
      <c r="A113" s="536"/>
      <c r="B113" s="537"/>
      <c r="C113" s="537"/>
      <c r="D113" s="537"/>
      <c r="E113" s="537"/>
      <c r="F113" s="537"/>
      <c r="G113" s="537"/>
      <c r="H113" s="537"/>
      <c r="I113" s="537"/>
      <c r="J113" s="537"/>
      <c r="K113" s="537"/>
    </row>
    <row r="114" spans="1:11">
      <c r="A114" s="536"/>
      <c r="B114" s="537"/>
      <c r="C114" s="537"/>
      <c r="D114" s="537"/>
      <c r="E114" s="537"/>
      <c r="F114" s="537"/>
      <c r="G114" s="537"/>
      <c r="H114" s="537"/>
      <c r="I114" s="537"/>
      <c r="J114" s="537"/>
      <c r="K114" s="537"/>
    </row>
    <row r="115" spans="1:11">
      <c r="A115" s="536"/>
      <c r="B115" s="537"/>
      <c r="C115" s="537"/>
      <c r="D115" s="537"/>
      <c r="E115" s="537"/>
      <c r="F115" s="537"/>
      <c r="G115" s="537"/>
      <c r="H115" s="537"/>
      <c r="I115" s="537"/>
      <c r="J115" s="537"/>
      <c r="K115" s="537"/>
    </row>
    <row r="116" spans="1:11">
      <c r="A116" s="536"/>
      <c r="B116" s="537"/>
      <c r="C116" s="537"/>
      <c r="D116" s="537"/>
      <c r="E116" s="537"/>
      <c r="F116" s="537"/>
      <c r="G116" s="537"/>
      <c r="H116" s="537"/>
      <c r="I116" s="537"/>
      <c r="J116" s="537"/>
      <c r="K116" s="537"/>
    </row>
    <row r="117" spans="1:11">
      <c r="A117" s="536"/>
      <c r="B117" s="537"/>
      <c r="C117" s="537"/>
      <c r="D117" s="537"/>
      <c r="E117" s="537"/>
      <c r="F117" s="537"/>
      <c r="G117" s="537"/>
      <c r="H117" s="537"/>
      <c r="I117" s="537"/>
      <c r="J117" s="537"/>
      <c r="K117" s="537"/>
    </row>
    <row r="118" spans="1:11">
      <c r="A118" s="536"/>
      <c r="B118" s="537"/>
      <c r="C118" s="537"/>
      <c r="D118" s="537"/>
      <c r="E118" s="537"/>
      <c r="F118" s="537"/>
      <c r="G118" s="537"/>
      <c r="H118" s="537"/>
      <c r="I118" s="537"/>
      <c r="J118" s="537"/>
      <c r="K118" s="537"/>
    </row>
    <row r="119" spans="1:11">
      <c r="A119" s="536"/>
      <c r="B119" s="537"/>
      <c r="C119" s="537"/>
      <c r="D119" s="537"/>
      <c r="E119" s="537"/>
      <c r="F119" s="537"/>
      <c r="G119" s="537"/>
      <c r="H119" s="537"/>
      <c r="I119" s="537"/>
      <c r="J119" s="537"/>
      <c r="K119" s="537"/>
    </row>
    <row r="120" spans="1:11">
      <c r="A120" s="536"/>
      <c r="B120" s="537"/>
      <c r="C120" s="537"/>
      <c r="D120" s="537"/>
      <c r="E120" s="537"/>
      <c r="F120" s="537"/>
      <c r="G120" s="537"/>
      <c r="H120" s="537"/>
      <c r="I120" s="537"/>
      <c r="J120" s="537"/>
      <c r="K120" s="537"/>
    </row>
    <row r="121" spans="1:11">
      <c r="A121" s="536"/>
      <c r="B121" s="537"/>
      <c r="C121" s="537"/>
      <c r="D121" s="537"/>
      <c r="E121" s="537"/>
      <c r="F121" s="537"/>
      <c r="G121" s="537"/>
      <c r="H121" s="537"/>
      <c r="I121" s="537"/>
      <c r="J121" s="537"/>
      <c r="K121" s="537"/>
    </row>
    <row r="122" spans="1:11">
      <c r="A122" s="536"/>
      <c r="B122" s="537"/>
      <c r="C122" s="537"/>
      <c r="D122" s="537"/>
      <c r="E122" s="537"/>
      <c r="F122" s="537"/>
      <c r="G122" s="537"/>
      <c r="H122" s="537"/>
      <c r="I122" s="537"/>
      <c r="J122" s="537"/>
      <c r="K122" s="537"/>
    </row>
    <row r="123" spans="1:11">
      <c r="A123" s="536"/>
      <c r="B123" s="537"/>
      <c r="C123" s="537"/>
      <c r="D123" s="537"/>
      <c r="E123" s="537"/>
      <c r="F123" s="537"/>
      <c r="G123" s="537"/>
      <c r="H123" s="537"/>
      <c r="I123" s="537"/>
      <c r="J123" s="537"/>
      <c r="K123" s="537"/>
    </row>
    <row r="124" spans="1:11">
      <c r="A124" s="536"/>
      <c r="B124" s="537"/>
      <c r="C124" s="537"/>
      <c r="D124" s="537"/>
      <c r="E124" s="537"/>
      <c r="F124" s="537"/>
      <c r="G124" s="537"/>
      <c r="H124" s="537"/>
      <c r="I124" s="537"/>
      <c r="J124" s="537"/>
      <c r="K124" s="537"/>
    </row>
    <row r="125" spans="1:11">
      <c r="A125" s="536"/>
      <c r="B125" s="537"/>
      <c r="C125" s="537"/>
      <c r="D125" s="537"/>
      <c r="E125" s="537"/>
      <c r="F125" s="537"/>
      <c r="G125" s="537"/>
      <c r="H125" s="537"/>
      <c r="I125" s="537"/>
      <c r="J125" s="537"/>
      <c r="K125" s="537"/>
    </row>
    <row r="126" spans="1:11">
      <c r="A126" s="536"/>
      <c r="B126" s="537"/>
      <c r="C126" s="537"/>
      <c r="D126" s="537"/>
      <c r="E126" s="537"/>
      <c r="F126" s="537"/>
      <c r="G126" s="537"/>
      <c r="H126" s="537"/>
      <c r="I126" s="537"/>
      <c r="J126" s="537"/>
      <c r="K126" s="537"/>
    </row>
    <row r="127" spans="1:11">
      <c r="A127" s="536"/>
      <c r="B127" s="537"/>
      <c r="C127" s="537"/>
      <c r="D127" s="537"/>
      <c r="E127" s="537"/>
      <c r="F127" s="537"/>
      <c r="G127" s="537"/>
      <c r="H127" s="537"/>
      <c r="I127" s="537"/>
      <c r="J127" s="537"/>
      <c r="K127" s="537"/>
    </row>
    <row r="128" spans="1:11">
      <c r="A128" s="536"/>
      <c r="B128" s="537"/>
      <c r="C128" s="537"/>
      <c r="D128" s="537"/>
      <c r="E128" s="537"/>
      <c r="F128" s="537"/>
      <c r="G128" s="537"/>
      <c r="H128" s="537"/>
      <c r="I128" s="537"/>
      <c r="J128" s="537"/>
      <c r="K128" s="537"/>
    </row>
    <row r="129" spans="1:11">
      <c r="A129" s="536"/>
      <c r="B129" s="537"/>
      <c r="C129" s="537"/>
      <c r="D129" s="537"/>
      <c r="E129" s="537"/>
      <c r="F129" s="537"/>
      <c r="G129" s="537"/>
      <c r="H129" s="537"/>
      <c r="I129" s="537"/>
      <c r="J129" s="537"/>
      <c r="K129" s="537"/>
    </row>
    <row r="130" spans="1:11">
      <c r="A130" s="536"/>
      <c r="B130" s="537"/>
      <c r="C130" s="537"/>
      <c r="D130" s="537"/>
      <c r="E130" s="537"/>
      <c r="F130" s="537"/>
      <c r="G130" s="537"/>
      <c r="H130" s="537"/>
      <c r="I130" s="537"/>
      <c r="J130" s="537"/>
      <c r="K130" s="537"/>
    </row>
    <row r="131" spans="1:11">
      <c r="A131" s="536"/>
      <c r="B131" s="537"/>
      <c r="C131" s="537"/>
      <c r="D131" s="537"/>
      <c r="E131" s="537"/>
      <c r="F131" s="537"/>
      <c r="G131" s="537"/>
      <c r="H131" s="537"/>
      <c r="I131" s="537"/>
      <c r="J131" s="537"/>
      <c r="K131" s="537"/>
    </row>
    <row r="132" spans="1:11">
      <c r="A132" s="536"/>
      <c r="B132" s="537"/>
      <c r="C132" s="537"/>
      <c r="D132" s="537"/>
      <c r="E132" s="537"/>
      <c r="F132" s="537"/>
      <c r="G132" s="537"/>
      <c r="H132" s="537"/>
      <c r="I132" s="537"/>
      <c r="J132" s="537"/>
      <c r="K132" s="537"/>
    </row>
    <row r="133" spans="1:11">
      <c r="A133" s="536"/>
      <c r="B133" s="537"/>
      <c r="C133" s="537"/>
      <c r="D133" s="537"/>
      <c r="E133" s="537"/>
      <c r="F133" s="537"/>
      <c r="G133" s="537"/>
      <c r="H133" s="537"/>
      <c r="I133" s="537"/>
      <c r="J133" s="537"/>
      <c r="K133" s="537"/>
    </row>
    <row r="134" spans="1:11">
      <c r="A134" s="536"/>
      <c r="B134" s="537"/>
      <c r="C134" s="537"/>
      <c r="D134" s="537"/>
      <c r="E134" s="537"/>
      <c r="F134" s="537"/>
      <c r="G134" s="537"/>
      <c r="H134" s="537"/>
      <c r="I134" s="537"/>
      <c r="J134" s="537"/>
      <c r="K134" s="537"/>
    </row>
    <row r="135" spans="1:11">
      <c r="A135" s="536"/>
      <c r="B135" s="537"/>
      <c r="C135" s="537"/>
      <c r="D135" s="537"/>
      <c r="E135" s="537"/>
      <c r="F135" s="537"/>
      <c r="G135" s="537"/>
      <c r="H135" s="537"/>
      <c r="I135" s="537"/>
      <c r="J135" s="537"/>
      <c r="K135" s="537"/>
    </row>
    <row r="136" spans="1:11">
      <c r="A136" s="536"/>
      <c r="B136" s="537"/>
      <c r="C136" s="537"/>
      <c r="D136" s="537"/>
      <c r="E136" s="537"/>
      <c r="F136" s="537"/>
      <c r="G136" s="537"/>
      <c r="H136" s="537"/>
      <c r="I136" s="537"/>
      <c r="J136" s="537"/>
      <c r="K136" s="537"/>
    </row>
    <row r="137" spans="1:11">
      <c r="A137" s="536"/>
      <c r="B137" s="537"/>
      <c r="C137" s="537"/>
      <c r="D137" s="537"/>
      <c r="E137" s="537"/>
      <c r="F137" s="537"/>
      <c r="G137" s="537"/>
      <c r="H137" s="537"/>
      <c r="I137" s="537"/>
      <c r="J137" s="537"/>
      <c r="K137" s="537"/>
    </row>
    <row r="138" spans="1:11">
      <c r="A138" s="536"/>
      <c r="B138" s="537"/>
      <c r="C138" s="537"/>
      <c r="D138" s="537"/>
      <c r="E138" s="537"/>
      <c r="F138" s="537"/>
      <c r="G138" s="537"/>
      <c r="H138" s="537"/>
      <c r="I138" s="537"/>
      <c r="J138" s="537"/>
      <c r="K138" s="537"/>
    </row>
    <row r="139" spans="1:11">
      <c r="A139" s="536"/>
      <c r="B139" s="537"/>
      <c r="C139" s="537"/>
      <c r="D139" s="537"/>
      <c r="E139" s="537"/>
      <c r="F139" s="537"/>
      <c r="G139" s="537"/>
      <c r="H139" s="537"/>
      <c r="I139" s="537"/>
      <c r="J139" s="537"/>
      <c r="K139" s="537"/>
    </row>
    <row r="140" spans="1:11">
      <c r="A140" s="536"/>
      <c r="B140" s="537"/>
      <c r="C140" s="537"/>
      <c r="D140" s="537"/>
      <c r="E140" s="537"/>
      <c r="F140" s="537"/>
      <c r="G140" s="537"/>
      <c r="H140" s="537"/>
      <c r="I140" s="537"/>
      <c r="J140" s="537"/>
      <c r="K140" s="537"/>
    </row>
    <row r="141" spans="1:11">
      <c r="A141" s="536"/>
      <c r="B141" s="537"/>
      <c r="C141" s="537"/>
      <c r="D141" s="537"/>
      <c r="E141" s="537"/>
      <c r="F141" s="537"/>
      <c r="G141" s="537"/>
      <c r="H141" s="537"/>
      <c r="I141" s="537"/>
      <c r="J141" s="537"/>
      <c r="K141" s="537"/>
    </row>
    <row r="142" spans="1:11">
      <c r="A142" s="536"/>
      <c r="B142" s="537"/>
      <c r="C142" s="537"/>
      <c r="D142" s="537"/>
      <c r="E142" s="537"/>
      <c r="F142" s="537"/>
      <c r="G142" s="537"/>
      <c r="H142" s="537"/>
      <c r="I142" s="537"/>
      <c r="J142" s="537"/>
      <c r="K142" s="537"/>
    </row>
    <row r="143" spans="1:11">
      <c r="A143" s="536"/>
      <c r="B143" s="537"/>
      <c r="C143" s="537"/>
      <c r="D143" s="537"/>
      <c r="E143" s="537"/>
      <c r="F143" s="537"/>
      <c r="G143" s="537"/>
      <c r="H143" s="537"/>
      <c r="I143" s="537"/>
      <c r="J143" s="537"/>
      <c r="K143" s="537"/>
    </row>
    <row r="144" spans="1:11">
      <c r="A144" s="536"/>
      <c r="B144" s="537"/>
      <c r="C144" s="537"/>
      <c r="D144" s="537"/>
      <c r="E144" s="537"/>
      <c r="F144" s="537"/>
      <c r="G144" s="537"/>
      <c r="H144" s="537"/>
      <c r="I144" s="537"/>
      <c r="J144" s="537"/>
      <c r="K144" s="537"/>
    </row>
    <row r="145" spans="1:11">
      <c r="A145" s="536"/>
      <c r="B145" s="537"/>
      <c r="C145" s="537"/>
      <c r="D145" s="537"/>
      <c r="E145" s="537"/>
      <c r="F145" s="537"/>
      <c r="G145" s="537"/>
      <c r="H145" s="537"/>
      <c r="I145" s="537"/>
      <c r="J145" s="537"/>
      <c r="K145" s="537"/>
    </row>
    <row r="146" spans="1:11">
      <c r="A146" s="536"/>
      <c r="B146" s="537"/>
      <c r="C146" s="537"/>
      <c r="D146" s="537"/>
      <c r="E146" s="537"/>
      <c r="F146" s="537"/>
      <c r="G146" s="537"/>
      <c r="H146" s="537"/>
      <c r="I146" s="537"/>
      <c r="J146" s="537"/>
      <c r="K146" s="537"/>
    </row>
    <row r="147" spans="1:11">
      <c r="A147" s="536"/>
      <c r="B147" s="537"/>
      <c r="C147" s="537"/>
      <c r="D147" s="537"/>
      <c r="E147" s="537"/>
      <c r="F147" s="537"/>
      <c r="G147" s="537"/>
      <c r="H147" s="537"/>
      <c r="I147" s="537"/>
      <c r="J147" s="537"/>
      <c r="K147" s="537"/>
    </row>
    <row r="148" spans="1:11">
      <c r="A148" s="536"/>
      <c r="B148" s="537"/>
      <c r="C148" s="537"/>
      <c r="D148" s="537"/>
      <c r="E148" s="537"/>
      <c r="F148" s="537"/>
      <c r="G148" s="537"/>
      <c r="H148" s="537"/>
      <c r="I148" s="537"/>
      <c r="J148" s="537"/>
      <c r="K148" s="537"/>
    </row>
    <row r="149" spans="1:11">
      <c r="A149" s="536"/>
      <c r="B149" s="537"/>
      <c r="C149" s="537"/>
      <c r="D149" s="537"/>
      <c r="E149" s="537"/>
      <c r="F149" s="537"/>
      <c r="G149" s="537"/>
      <c r="H149" s="537"/>
      <c r="I149" s="537"/>
      <c r="J149" s="537"/>
      <c r="K149" s="537"/>
    </row>
    <row r="150" spans="1:11">
      <c r="A150" s="536"/>
      <c r="F150" s="537"/>
      <c r="G150" s="537"/>
      <c r="H150" s="537"/>
      <c r="I150" s="537"/>
      <c r="J150" s="537"/>
      <c r="K150" s="537"/>
    </row>
  </sheetData>
  <sheetProtection password="CF4C" sheet="1" objects="1" scenarios="1"/>
  <mergeCells count="12">
    <mergeCell ref="B11:E11"/>
    <mergeCell ref="B2:E2"/>
    <mergeCell ref="B3:E3"/>
    <mergeCell ref="B6:E6"/>
    <mergeCell ref="B10:C10"/>
    <mergeCell ref="B38:C38"/>
    <mergeCell ref="D16:D17"/>
    <mergeCell ref="E16:E17"/>
    <mergeCell ref="B19:C19"/>
    <mergeCell ref="B20:E20"/>
    <mergeCell ref="B31:C31"/>
    <mergeCell ref="B32:E32"/>
  </mergeCells>
  <printOptions horizontalCentered="1" verticalCentered="1"/>
  <pageMargins left="0.39370078740157483" right="0.39370078740157483" top="0.31496062992125984" bottom="0.9055118110236221" header="0" footer="0"/>
  <pageSetup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 enableFormatConditionsCalculation="0">
    <tabColor theme="9" tint="-0.249977111117893"/>
    <pageSetUpPr fitToPage="1"/>
  </sheetPr>
  <dimension ref="A1:H48"/>
  <sheetViews>
    <sheetView showGridLines="0" workbookViewId="0">
      <selection activeCell="N12" sqref="N12"/>
    </sheetView>
  </sheetViews>
  <sheetFormatPr baseColWidth="10" defaultRowHeight="12.75"/>
  <cols>
    <col min="1" max="1" width="1.7109375" customWidth="1"/>
    <col min="2" max="2" width="10" customWidth="1"/>
    <col min="3" max="5" width="20.7109375" customWidth="1"/>
    <col min="6" max="6" width="1.7109375" customWidth="1"/>
    <col min="8" max="8" width="4.7109375" bestFit="1" customWidth="1"/>
    <col min="9" max="9" width="12" bestFit="1" customWidth="1"/>
  </cols>
  <sheetData>
    <row r="1" spans="1:8" s="46" customFormat="1" ht="12" customHeight="1">
      <c r="A1" s="258"/>
      <c r="B1" s="259"/>
      <c r="C1" s="260"/>
      <c r="D1" s="260"/>
      <c r="E1" s="260"/>
      <c r="F1" s="261"/>
    </row>
    <row r="2" spans="1:8" ht="30" customHeight="1">
      <c r="A2" s="262"/>
      <c r="B2" s="1098" t="s">
        <v>517</v>
      </c>
      <c r="C2" s="1098"/>
      <c r="D2" s="1098"/>
      <c r="E2" s="1098"/>
      <c r="F2" s="263"/>
    </row>
    <row r="3" spans="1:8" ht="15" customHeight="1" thickBot="1">
      <c r="A3" s="264"/>
      <c r="B3" s="412" t="s">
        <v>112</v>
      </c>
      <c r="C3" s="394"/>
      <c r="D3" s="394"/>
      <c r="E3" s="394"/>
      <c r="F3" s="263"/>
    </row>
    <row r="4" spans="1:8" ht="21" customHeight="1" thickBot="1">
      <c r="A4" s="264"/>
      <c r="B4" s="441" t="s">
        <v>256</v>
      </c>
      <c r="C4" s="441" t="s">
        <v>287</v>
      </c>
      <c r="D4" s="441" t="s">
        <v>288</v>
      </c>
      <c r="E4" s="441" t="s">
        <v>255</v>
      </c>
      <c r="F4" s="263"/>
    </row>
    <row r="5" spans="1:8" ht="15" customHeight="1" thickBot="1">
      <c r="A5" s="264"/>
      <c r="B5" s="435">
        <v>1997</v>
      </c>
      <c r="C5" s="481">
        <v>1974.991</v>
      </c>
      <c r="D5" s="481">
        <v>434.99650000000003</v>
      </c>
      <c r="E5" s="482">
        <v>2409.9875000000002</v>
      </c>
      <c r="F5" s="265"/>
      <c r="H5" s="2"/>
    </row>
    <row r="6" spans="1:8" ht="15" customHeight="1" thickBot="1">
      <c r="A6" s="264"/>
      <c r="B6" s="434">
        <v>1998</v>
      </c>
      <c r="C6" s="480">
        <v>1940.1135999999999</v>
      </c>
      <c r="D6" s="480">
        <v>669.7876</v>
      </c>
      <c r="E6" s="482">
        <v>2609.9011999999998</v>
      </c>
      <c r="F6" s="265"/>
      <c r="H6" s="2"/>
    </row>
    <row r="7" spans="1:8" ht="15" customHeight="1" thickBot="1">
      <c r="A7" s="264"/>
      <c r="B7" s="435">
        <v>1999</v>
      </c>
      <c r="C7" s="481">
        <v>1887.1573000000001</v>
      </c>
      <c r="D7" s="481">
        <v>854.08709999999996</v>
      </c>
      <c r="E7" s="482">
        <v>2741.2444</v>
      </c>
      <c r="F7" s="265"/>
      <c r="H7" s="2"/>
    </row>
    <row r="8" spans="1:8" ht="15" customHeight="1" thickBot="1">
      <c r="A8" s="264"/>
      <c r="B8" s="434">
        <v>2000</v>
      </c>
      <c r="C8" s="480">
        <v>2788.1819999999998</v>
      </c>
      <c r="D8" s="480">
        <v>1123.4656</v>
      </c>
      <c r="E8" s="482">
        <v>3911.6475999999998</v>
      </c>
      <c r="F8" s="265"/>
      <c r="H8" s="2"/>
    </row>
    <row r="9" spans="1:8" ht="15" customHeight="1" thickBot="1">
      <c r="A9" s="264"/>
      <c r="B9" s="435">
        <v>2001</v>
      </c>
      <c r="C9" s="481">
        <v>1876.9827</v>
      </c>
      <c r="D9" s="481">
        <v>848.54349999999999</v>
      </c>
      <c r="E9" s="482">
        <v>2725.5262000000002</v>
      </c>
      <c r="F9" s="265"/>
      <c r="H9" s="2"/>
    </row>
    <row r="10" spans="1:8" ht="15" customHeight="1" thickBot="1">
      <c r="A10" s="264"/>
      <c r="B10" s="434">
        <v>2002</v>
      </c>
      <c r="C10" s="480">
        <v>9097.2520000000004</v>
      </c>
      <c r="D10" s="480">
        <v>1321.912</v>
      </c>
      <c r="E10" s="482">
        <v>10419.164000000001</v>
      </c>
      <c r="F10" s="265"/>
      <c r="H10" s="2"/>
    </row>
    <row r="11" spans="1:8" ht="15" customHeight="1" thickBot="1">
      <c r="A11" s="264"/>
      <c r="B11" s="435">
        <v>2003</v>
      </c>
      <c r="C11" s="481">
        <v>10867.325999999999</v>
      </c>
      <c r="D11" s="481">
        <v>1566.1569999999999</v>
      </c>
      <c r="E11" s="482">
        <v>12433.482999999998</v>
      </c>
      <c r="F11" s="265"/>
      <c r="H11" s="2"/>
    </row>
    <row r="12" spans="1:8" ht="15" customHeight="1" thickBot="1">
      <c r="A12" s="264"/>
      <c r="B12" s="434">
        <v>2004</v>
      </c>
      <c r="C12" s="480">
        <v>12320.18</v>
      </c>
      <c r="D12" s="480">
        <v>1169.184</v>
      </c>
      <c r="E12" s="482">
        <v>13489.364</v>
      </c>
      <c r="F12" s="265"/>
      <c r="H12" s="2"/>
    </row>
    <row r="13" spans="1:8" ht="15" customHeight="1" thickBot="1">
      <c r="A13" s="264"/>
      <c r="B13" s="435">
        <v>2005</v>
      </c>
      <c r="C13" s="481">
        <v>19599.440120982938</v>
      </c>
      <c r="D13" s="481">
        <v>2007.9082863050003</v>
      </c>
      <c r="E13" s="482">
        <v>21607.348407287936</v>
      </c>
      <c r="F13" s="265"/>
      <c r="H13" s="2"/>
    </row>
    <row r="14" spans="1:8" ht="15" customHeight="1" thickBot="1">
      <c r="A14" s="264"/>
      <c r="B14" s="434">
        <v>2006</v>
      </c>
      <c r="C14" s="480">
        <v>13782.5</v>
      </c>
      <c r="D14" s="480">
        <v>1946</v>
      </c>
      <c r="E14" s="482">
        <v>15728.5</v>
      </c>
      <c r="F14" s="265"/>
      <c r="H14" s="2"/>
    </row>
    <row r="15" spans="1:8" ht="15" customHeight="1" thickBot="1">
      <c r="A15" s="360"/>
      <c r="B15" s="435">
        <v>2007</v>
      </c>
      <c r="C15" s="481">
        <v>16938.290291944038</v>
      </c>
      <c r="D15" s="481">
        <v>4579.0970979549611</v>
      </c>
      <c r="E15" s="482">
        <v>21517.387389898999</v>
      </c>
      <c r="F15" s="265"/>
      <c r="H15" s="2"/>
    </row>
    <row r="16" spans="1:8" ht="15" customHeight="1" thickBot="1">
      <c r="A16" s="391"/>
      <c r="B16" s="434">
        <v>2008</v>
      </c>
      <c r="C16" s="480">
        <v>24486.443156165493</v>
      </c>
      <c r="D16" s="480">
        <v>5024.0588907722649</v>
      </c>
      <c r="E16" s="482">
        <v>29510.502046937756</v>
      </c>
      <c r="F16" s="265"/>
      <c r="H16" s="2"/>
    </row>
    <row r="17" spans="1:8" ht="15" customHeight="1" thickBot="1">
      <c r="A17" s="264"/>
      <c r="B17" s="440">
        <v>2009</v>
      </c>
      <c r="C17" s="482">
        <v>24586.912370809467</v>
      </c>
      <c r="D17" s="482">
        <v>5660.0444509414365</v>
      </c>
      <c r="E17" s="482">
        <v>30246.956821750904</v>
      </c>
      <c r="F17" s="265"/>
      <c r="H17" s="2"/>
    </row>
    <row r="18" spans="1:8" ht="36" customHeight="1">
      <c r="A18" s="263"/>
      <c r="B18" s="1096" t="s">
        <v>310</v>
      </c>
      <c r="C18" s="1096"/>
      <c r="D18" s="1096"/>
      <c r="E18" s="1096"/>
      <c r="F18" s="271"/>
      <c r="G18" s="69"/>
    </row>
    <row r="19" spans="1:8" ht="18.75" customHeight="1">
      <c r="A19" s="263"/>
      <c r="B19" s="1096" t="s">
        <v>277</v>
      </c>
      <c r="C19" s="1096"/>
      <c r="D19" s="1096"/>
      <c r="E19" s="1096"/>
      <c r="F19" s="270"/>
      <c r="G19" s="185"/>
      <c r="H19" s="1"/>
    </row>
    <row r="23" spans="1:8">
      <c r="B23" s="237"/>
    </row>
    <row r="30" spans="1:8">
      <c r="B30" s="237"/>
    </row>
    <row r="33" spans="2:2">
      <c r="B33" s="235"/>
    </row>
    <row r="41" spans="2:2">
      <c r="B41" s="235"/>
    </row>
    <row r="48" spans="2:2">
      <c r="B48" s="242"/>
    </row>
  </sheetData>
  <sheetProtection password="CF4C" sheet="1" objects="1" scenarios="1"/>
  <customSheetViews>
    <customSheetView guid="{E9B43C8C-734F-433D-AD37-344F9303B5CC}" showPageBreaks="1" showGridLines="0" showRuler="0" topLeftCell="A5">
      <selection activeCell="B21" sqref="B21:E21"/>
      <pageMargins left="0.19685039370078741" right="0.19685039370078741" top="0.59055118110236227" bottom="0.59055118110236227" header="0" footer="0.39370078740157483"/>
      <printOptions horizontalCentered="1"/>
      <pageSetup orientation="portrait" r:id="rId1"/>
      <headerFooter alignWithMargins="0"/>
    </customSheetView>
    <customSheetView guid="{9BF398E0-33D8-4E64-94A2-9B7C822C8383}" showPageBreaks="1" showGridLines="0" printArea="1" hiddenRows="1" showRuler="0" topLeftCell="A5">
      <selection activeCell="B21" sqref="B21:E21"/>
      <pageMargins left="0.19685039370078741" right="0.19685039370078741" top="0.59055118110236227" bottom="0.59055118110236227" header="0" footer="0.39370078740157483"/>
      <printOptions horizontalCentered="1"/>
      <pageSetup orientation="portrait" r:id="rId2"/>
      <headerFooter alignWithMargins="0"/>
    </customSheetView>
    <customSheetView guid="{6DCFE324-2DF9-4BB0-88BD-A4AD316C7A9E}" showGridLines="0" showRuler="0">
      <pageMargins left="0.78740157480314965" right="0.78740157480314965" top="0.98425196850393704" bottom="0.98425196850393704" header="0" footer="0"/>
      <printOptions horizontalCentered="1"/>
      <pageSetup orientation="portrait" r:id="rId3"/>
      <headerFooter alignWithMargins="0"/>
    </customSheetView>
    <customSheetView guid="{48A744A8-8180-4A3B-8108-49EF41816969}" showGridLines="0" showRuler="0">
      <selection activeCell="E22" sqref="E22"/>
      <pageMargins left="0.78740157480314965" right="0.78740157480314965" top="0.98425196850393704" bottom="0.98425196850393704" header="0" footer="0"/>
      <printOptions horizontalCentered="1"/>
      <pageSetup orientation="portrait" r:id="rId4"/>
      <headerFooter alignWithMargins="0"/>
    </customSheetView>
    <customSheetView guid="{9E220BD5-A526-40BD-8239-3A0461590922}" showGridLines="0" showRuler="0" topLeftCell="A5">
      <selection activeCell="B21" sqref="B21:E21"/>
      <pageMargins left="0.19685039370078741" right="0.19685039370078741" top="0.59055118110236227" bottom="0.59055118110236227" header="0" footer="0.39370078740157483"/>
      <printOptions horizontalCentered="1"/>
      <pageSetup orientation="portrait" r:id="rId5"/>
      <headerFooter alignWithMargins="0"/>
    </customSheetView>
  </customSheetViews>
  <mergeCells count="3">
    <mergeCell ref="B18:E18"/>
    <mergeCell ref="B19:E19"/>
    <mergeCell ref="B2:E2"/>
  </mergeCells>
  <phoneticPr fontId="9" type="noConversion"/>
  <printOptions horizontalCentered="1"/>
  <pageMargins left="0.19685039370078741" right="0.19685039370078741" top="0.59055118110236227" bottom="0.59055118110236227" header="0" footer="0.39370078740157483"/>
  <pageSetup orientation="portrait" r:id="rId6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I55"/>
  <sheetViews>
    <sheetView showGridLines="0" topLeftCell="D25" zoomScaleNormal="100" workbookViewId="0">
      <pane ySplit="1" topLeftCell="A26" activePane="bottomLeft" state="frozen"/>
      <selection activeCell="A25" sqref="A25"/>
      <selection pane="bottomLeft" activeCell="L33" sqref="L33"/>
    </sheetView>
  </sheetViews>
  <sheetFormatPr baseColWidth="10" defaultRowHeight="12.75"/>
  <cols>
    <col min="1" max="1" width="4.7109375" style="263" customWidth="1"/>
    <col min="2" max="2" width="22.7109375" style="263" customWidth="1"/>
    <col min="3" max="3" width="20.7109375" style="263" customWidth="1"/>
    <col min="4" max="9" width="12.7109375" style="263" customWidth="1"/>
    <col min="10" max="10" width="4.7109375" style="263" customWidth="1"/>
    <col min="11" max="16384" width="11.42578125" style="263"/>
  </cols>
  <sheetData>
    <row r="1" spans="1:7">
      <c r="A1" s="604"/>
      <c r="B1" s="604"/>
      <c r="C1" s="604"/>
      <c r="D1" s="604"/>
    </row>
    <row r="2" spans="1:7" s="1080" customFormat="1" ht="2.25" customHeight="1">
      <c r="B2" s="1079" t="s">
        <v>578</v>
      </c>
    </row>
    <row r="3" spans="1:7" s="1080" customFormat="1" ht="2.25" customHeight="1"/>
    <row r="4" spans="1:7" s="1080" customFormat="1" ht="2.25" customHeight="1">
      <c r="B4" s="1081" t="s">
        <v>194</v>
      </c>
      <c r="C4" s="1082" t="s">
        <v>423</v>
      </c>
    </row>
    <row r="5" spans="1:7" s="1080" customFormat="1" ht="2.25" customHeight="1">
      <c r="B5" s="1083" t="s">
        <v>509</v>
      </c>
      <c r="C5" s="1084">
        <f t="shared" ref="C5" si="0">+G5/1000000</f>
        <v>1.033847</v>
      </c>
      <c r="G5" s="1080">
        <v>1033847</v>
      </c>
    </row>
    <row r="6" spans="1:7" s="1080" customFormat="1" ht="2.25" customHeight="1">
      <c r="B6" s="1083" t="s">
        <v>224</v>
      </c>
      <c r="C6" s="1084">
        <v>5.4</v>
      </c>
      <c r="G6" s="1080">
        <v>177126</v>
      </c>
    </row>
    <row r="7" spans="1:7" s="1080" customFormat="1" ht="2.25" customHeight="1">
      <c r="B7" s="1083" t="s">
        <v>510</v>
      </c>
      <c r="C7" s="1084">
        <v>1.2</v>
      </c>
      <c r="G7" s="1080">
        <v>1562275</v>
      </c>
    </row>
    <row r="8" spans="1:7" s="1080" customFormat="1" ht="2.25" customHeight="1">
      <c r="B8" s="1083" t="s">
        <v>36</v>
      </c>
      <c r="C8" s="1084">
        <v>12.7</v>
      </c>
      <c r="G8" s="1080">
        <v>873372</v>
      </c>
    </row>
    <row r="9" spans="1:7" s="1080" customFormat="1" ht="2.25" customHeight="1">
      <c r="B9" s="1083" t="s">
        <v>28</v>
      </c>
      <c r="C9" s="1084">
        <v>6.1</v>
      </c>
      <c r="G9" s="1080">
        <v>2868087</v>
      </c>
    </row>
    <row r="10" spans="1:7" s="1080" customFormat="1" ht="2.25" customHeight="1">
      <c r="B10" s="1083" t="s">
        <v>225</v>
      </c>
      <c r="C10" s="1084">
        <v>7.6</v>
      </c>
      <c r="G10" s="1080">
        <v>3488343</v>
      </c>
    </row>
    <row r="11" spans="1:7" s="1080" customFormat="1" ht="2.25" customHeight="1">
      <c r="B11" s="1083" t="s">
        <v>511</v>
      </c>
      <c r="C11" s="1084">
        <v>3.1</v>
      </c>
      <c r="G11" s="1080">
        <v>2000000</v>
      </c>
    </row>
    <row r="12" spans="1:7" s="1080" customFormat="1" ht="2.25" customHeight="1">
      <c r="B12" s="1083" t="s">
        <v>18</v>
      </c>
      <c r="C12" s="1084">
        <v>1.5</v>
      </c>
      <c r="G12" s="1080">
        <v>1795108</v>
      </c>
    </row>
    <row r="13" spans="1:7" s="1080" customFormat="1" ht="2.25" customHeight="1">
      <c r="B13" s="1083" t="s">
        <v>32</v>
      </c>
      <c r="C13" s="1084">
        <v>0.9</v>
      </c>
      <c r="G13" s="1080">
        <v>1543516</v>
      </c>
    </row>
    <row r="14" spans="1:7" s="1080" customFormat="1" ht="2.25" customHeight="1">
      <c r="B14" s="1083" t="s">
        <v>13</v>
      </c>
      <c r="C14" s="1084">
        <v>8.4</v>
      </c>
    </row>
    <row r="15" spans="1:7" s="1080" customFormat="1" ht="2.25" customHeight="1">
      <c r="B15" s="1083" t="s">
        <v>512</v>
      </c>
      <c r="C15" s="1084">
        <v>0.1</v>
      </c>
    </row>
    <row r="16" spans="1:7" s="1080" customFormat="1" ht="2.25" customHeight="1">
      <c r="B16" s="1083" t="s">
        <v>20</v>
      </c>
      <c r="C16" s="1084">
        <v>0.2</v>
      </c>
    </row>
    <row r="17" spans="2:9" s="1080" customFormat="1" ht="2.25" customHeight="1">
      <c r="B17" s="1083" t="s">
        <v>23</v>
      </c>
      <c r="C17" s="1084">
        <v>2.4</v>
      </c>
    </row>
    <row r="18" spans="2:9" s="1080" customFormat="1" ht="2.25" customHeight="1">
      <c r="B18" s="1083" t="s">
        <v>10</v>
      </c>
      <c r="C18" s="1084">
        <v>0.8</v>
      </c>
    </row>
    <row r="19" spans="2:9" s="1080" customFormat="1" ht="2.25" customHeight="1">
      <c r="B19" s="1083" t="s">
        <v>513</v>
      </c>
      <c r="C19" s="1084">
        <v>9.5</v>
      </c>
    </row>
    <row r="20" spans="2:9" s="1080" customFormat="1" ht="2.25" customHeight="1">
      <c r="B20" s="1083" t="s">
        <v>514</v>
      </c>
      <c r="C20" s="1084">
        <v>5.4</v>
      </c>
    </row>
    <row r="21" spans="2:9" s="1080" customFormat="1" ht="2.25" customHeight="1">
      <c r="B21" s="1083" t="s">
        <v>16</v>
      </c>
      <c r="C21" s="1084">
        <v>2.6</v>
      </c>
    </row>
    <row r="22" spans="2:9" s="1080" customFormat="1" ht="2.25" customHeight="1">
      <c r="B22" s="1083" t="s">
        <v>17</v>
      </c>
      <c r="C22" s="1084">
        <v>2.1</v>
      </c>
    </row>
    <row r="23" spans="2:9" s="1080" customFormat="1" ht="2.25" customHeight="1">
      <c r="B23" s="1083" t="s">
        <v>35</v>
      </c>
      <c r="C23" s="1084">
        <v>8.5</v>
      </c>
      <c r="G23" s="1080">
        <v>581986</v>
      </c>
    </row>
    <row r="24" spans="2:9" s="604" customFormat="1" ht="2.25" customHeight="1"/>
    <row r="25" spans="2:9" ht="13.5" thickBot="1"/>
    <row r="26" spans="2:9" ht="18" customHeight="1">
      <c r="B26" s="1451" t="s">
        <v>508</v>
      </c>
      <c r="C26" s="1452"/>
      <c r="D26" s="1452"/>
      <c r="E26" s="1452"/>
      <c r="F26" s="1452"/>
      <c r="G26" s="1452"/>
      <c r="H26" s="1452"/>
      <c r="I26" s="1453"/>
    </row>
    <row r="27" spans="2:9" ht="15">
      <c r="B27" s="656" t="s">
        <v>112</v>
      </c>
      <c r="C27" s="623"/>
      <c r="D27" s="623"/>
      <c r="E27" s="623"/>
      <c r="F27" s="624"/>
      <c r="G27" s="623"/>
      <c r="H27" s="623"/>
      <c r="I27" s="657"/>
    </row>
    <row r="28" spans="2:9">
      <c r="B28" s="658"/>
      <c r="C28" s="604"/>
      <c r="D28" s="604"/>
      <c r="E28" s="604"/>
      <c r="F28" s="604"/>
      <c r="G28" s="604"/>
      <c r="H28" s="604"/>
      <c r="I28" s="659"/>
    </row>
    <row r="29" spans="2:9">
      <c r="B29" s="658"/>
      <c r="C29" s="604"/>
      <c r="D29" s="604"/>
      <c r="E29" s="604"/>
      <c r="F29" s="604"/>
      <c r="G29" s="604"/>
      <c r="H29" s="604"/>
      <c r="I29" s="659"/>
    </row>
    <row r="30" spans="2:9">
      <c r="B30" s="658"/>
      <c r="C30" s="604"/>
      <c r="D30" s="604"/>
      <c r="E30" s="604"/>
      <c r="F30" s="604"/>
      <c r="G30" s="604"/>
      <c r="H30" s="604"/>
      <c r="I30" s="659"/>
    </row>
    <row r="31" spans="2:9">
      <c r="B31" s="658"/>
      <c r="C31" s="604"/>
      <c r="D31" s="604"/>
      <c r="E31" s="604"/>
      <c r="F31" s="604"/>
      <c r="G31" s="604"/>
      <c r="H31" s="604"/>
      <c r="I31" s="659"/>
    </row>
    <row r="32" spans="2:9">
      <c r="B32" s="658"/>
      <c r="C32" s="604"/>
      <c r="D32" s="604"/>
      <c r="E32" s="604"/>
      <c r="F32" s="604"/>
      <c r="G32" s="604"/>
      <c r="H32" s="604"/>
      <c r="I32" s="659"/>
    </row>
    <row r="33" spans="2:9">
      <c r="B33" s="658"/>
      <c r="C33" s="604"/>
      <c r="D33" s="604"/>
      <c r="E33" s="604"/>
      <c r="F33" s="604"/>
      <c r="G33" s="604"/>
      <c r="H33" s="604"/>
      <c r="I33" s="659"/>
    </row>
    <row r="34" spans="2:9">
      <c r="B34" s="658"/>
      <c r="C34" s="604"/>
      <c r="D34" s="604"/>
      <c r="E34" s="604"/>
      <c r="F34" s="604"/>
      <c r="G34" s="604"/>
      <c r="H34" s="604"/>
      <c r="I34" s="659"/>
    </row>
    <row r="35" spans="2:9">
      <c r="B35" s="658"/>
      <c r="C35" s="604"/>
      <c r="D35" s="604"/>
      <c r="E35" s="604"/>
      <c r="F35" s="604"/>
      <c r="G35" s="604"/>
      <c r="H35" s="604"/>
      <c r="I35" s="659"/>
    </row>
    <row r="36" spans="2:9">
      <c r="B36" s="658"/>
      <c r="C36" s="604"/>
      <c r="D36" s="604"/>
      <c r="E36" s="604"/>
      <c r="F36" s="604"/>
      <c r="G36" s="604"/>
      <c r="H36" s="604"/>
      <c r="I36" s="659"/>
    </row>
    <row r="37" spans="2:9">
      <c r="B37" s="658"/>
      <c r="C37" s="604"/>
      <c r="D37" s="604"/>
      <c r="E37" s="604"/>
      <c r="F37" s="604"/>
      <c r="G37" s="604"/>
      <c r="H37" s="604"/>
      <c r="I37" s="659"/>
    </row>
    <row r="38" spans="2:9">
      <c r="B38" s="658"/>
      <c r="C38" s="604"/>
      <c r="D38" s="604"/>
      <c r="E38" s="604"/>
      <c r="F38" s="604"/>
      <c r="G38" s="604"/>
      <c r="H38" s="604"/>
      <c r="I38" s="659"/>
    </row>
    <row r="39" spans="2:9">
      <c r="B39" s="658"/>
      <c r="C39" s="604"/>
      <c r="D39" s="604"/>
      <c r="E39" s="604"/>
      <c r="F39" s="604"/>
      <c r="G39" s="604"/>
      <c r="H39" s="604"/>
      <c r="I39" s="659"/>
    </row>
    <row r="40" spans="2:9">
      <c r="B40" s="658"/>
      <c r="C40" s="604"/>
      <c r="D40" s="604"/>
      <c r="E40" s="604"/>
      <c r="F40" s="604"/>
      <c r="G40" s="604"/>
      <c r="H40" s="604"/>
      <c r="I40" s="659"/>
    </row>
    <row r="41" spans="2:9">
      <c r="B41" s="658"/>
      <c r="C41" s="604"/>
      <c r="D41" s="604"/>
      <c r="E41" s="604"/>
      <c r="F41" s="604"/>
      <c r="G41" s="604"/>
      <c r="H41" s="604"/>
      <c r="I41" s="659"/>
    </row>
    <row r="42" spans="2:9">
      <c r="B42" s="658"/>
      <c r="C42" s="604"/>
      <c r="D42" s="604"/>
      <c r="E42" s="604"/>
      <c r="F42" s="604"/>
      <c r="G42" s="604"/>
      <c r="H42" s="604"/>
      <c r="I42" s="659"/>
    </row>
    <row r="43" spans="2:9">
      <c r="B43" s="658"/>
      <c r="C43" s="604"/>
      <c r="D43" s="604"/>
      <c r="E43" s="604"/>
      <c r="F43" s="604"/>
      <c r="G43" s="604"/>
      <c r="H43" s="604"/>
      <c r="I43" s="659"/>
    </row>
    <row r="44" spans="2:9">
      <c r="B44" s="658"/>
      <c r="C44" s="604"/>
      <c r="D44" s="604"/>
      <c r="E44" s="604"/>
      <c r="F44" s="604"/>
      <c r="G44" s="604"/>
      <c r="H44" s="604"/>
      <c r="I44" s="659"/>
    </row>
    <row r="45" spans="2:9">
      <c r="B45" s="658"/>
      <c r="C45" s="604"/>
      <c r="D45" s="604"/>
      <c r="E45" s="604"/>
      <c r="F45" s="604"/>
      <c r="G45" s="604"/>
      <c r="H45" s="604"/>
      <c r="I45" s="659"/>
    </row>
    <row r="46" spans="2:9">
      <c r="B46" s="658"/>
      <c r="C46" s="604"/>
      <c r="D46" s="604"/>
      <c r="E46" s="604"/>
      <c r="F46" s="604"/>
      <c r="G46" s="604"/>
      <c r="H46" s="604"/>
      <c r="I46" s="659"/>
    </row>
    <row r="47" spans="2:9">
      <c r="B47" s="658"/>
      <c r="C47" s="604"/>
      <c r="D47" s="604"/>
      <c r="E47" s="604"/>
      <c r="F47" s="604"/>
      <c r="G47" s="604"/>
      <c r="H47" s="604"/>
      <c r="I47" s="659"/>
    </row>
    <row r="48" spans="2:9">
      <c r="B48" s="658"/>
      <c r="C48" s="604"/>
      <c r="D48" s="604"/>
      <c r="E48" s="604"/>
      <c r="F48" s="604"/>
      <c r="G48" s="604"/>
      <c r="H48" s="604"/>
      <c r="I48" s="659"/>
    </row>
    <row r="49" spans="2:9">
      <c r="B49" s="658"/>
      <c r="C49" s="604"/>
      <c r="D49" s="604"/>
      <c r="E49" s="604"/>
      <c r="F49" s="604"/>
      <c r="G49" s="604"/>
      <c r="H49" s="604"/>
      <c r="I49" s="659"/>
    </row>
    <row r="50" spans="2:9">
      <c r="B50" s="658"/>
      <c r="C50" s="604"/>
      <c r="D50" s="604"/>
      <c r="E50" s="604"/>
      <c r="F50" s="604"/>
      <c r="G50" s="604"/>
      <c r="H50" s="604"/>
      <c r="I50" s="659"/>
    </row>
    <row r="51" spans="2:9">
      <c r="B51" s="658"/>
      <c r="C51" s="604"/>
      <c r="D51" s="604"/>
      <c r="E51" s="604"/>
      <c r="F51" s="604"/>
      <c r="G51" s="604"/>
      <c r="H51" s="604"/>
      <c r="I51" s="659"/>
    </row>
    <row r="52" spans="2:9">
      <c r="B52" s="658"/>
      <c r="C52" s="604"/>
      <c r="D52" s="604"/>
      <c r="E52" s="604"/>
      <c r="F52" s="604"/>
      <c r="G52" s="604"/>
      <c r="H52" s="604"/>
      <c r="I52" s="659"/>
    </row>
    <row r="53" spans="2:9">
      <c r="B53" s="658"/>
      <c r="C53" s="604"/>
      <c r="D53" s="604"/>
      <c r="E53" s="604"/>
      <c r="F53" s="604"/>
      <c r="G53" s="604"/>
      <c r="H53" s="604"/>
      <c r="I53" s="659"/>
    </row>
    <row r="54" spans="2:9" ht="13.5" thickBot="1">
      <c r="B54" s="660"/>
      <c r="C54" s="661"/>
      <c r="D54" s="661"/>
      <c r="E54" s="661"/>
      <c r="F54" s="661"/>
      <c r="G54" s="661"/>
      <c r="H54" s="661"/>
      <c r="I54" s="662"/>
    </row>
    <row r="55" spans="2:9">
      <c r="B55" s="873" t="s">
        <v>306</v>
      </c>
    </row>
  </sheetData>
  <sheetProtection password="CF4C" sheet="1" formatCells="0" formatColumns="0" formatRows="0" insertColumns="0" insertRows="0" insertHyperlinks="0" deleteColumns="0" deleteRows="0" sort="0" autoFilter="0" pivotTables="0"/>
  <mergeCells count="2">
    <mergeCell ref="B26:E26"/>
    <mergeCell ref="F26:I26"/>
  </mergeCells>
  <printOptions horizontalCentered="1"/>
  <pageMargins left="0.39370078740157483" right="0.39370078740157483" top="0.59055118110236227" bottom="0.59055118110236227" header="0" footer="0"/>
  <pageSetup orientation="landscape" r:id="rId1"/>
  <drawing r:id="rId2"/>
  <tableParts count="1">
    <tablePart r:id="rId3"/>
  </tableParts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B2:I53"/>
  <sheetViews>
    <sheetView showGridLines="0" topLeftCell="A25" zoomScale="85" zoomScaleNormal="85" workbookViewId="0">
      <pane ySplit="1" topLeftCell="A26" activePane="bottomLeft" state="frozen"/>
      <selection activeCell="A25" sqref="A25"/>
      <selection pane="bottomLeft" activeCell="T39" sqref="T39"/>
    </sheetView>
  </sheetViews>
  <sheetFormatPr baseColWidth="10" defaultRowHeight="12.75"/>
  <cols>
    <col min="1" max="1" width="4.7109375" style="263" customWidth="1"/>
    <col min="2" max="2" width="22.7109375" style="263" customWidth="1"/>
    <col min="3" max="3" width="20.7109375" style="263" customWidth="1"/>
    <col min="4" max="6" width="12.7109375" style="263" customWidth="1"/>
    <col min="7" max="7" width="15.42578125" style="263" customWidth="1"/>
    <col min="8" max="9" width="12.7109375" style="263" customWidth="1"/>
    <col min="10" max="10" width="4.7109375" style="263" customWidth="1"/>
    <col min="11" max="16384" width="11.42578125" style="263"/>
  </cols>
  <sheetData>
    <row r="2" spans="2:7" s="1086" customFormat="1" ht="2.25" customHeight="1">
      <c r="B2" s="1085" t="s">
        <v>578</v>
      </c>
    </row>
    <row r="3" spans="2:7" s="1086" customFormat="1" ht="2.25" customHeight="1" thickBot="1"/>
    <row r="4" spans="2:7" s="1086" customFormat="1" ht="2.25" customHeight="1" thickBot="1">
      <c r="B4" s="1087" t="s">
        <v>194</v>
      </c>
      <c r="C4" s="1088" t="s">
        <v>425</v>
      </c>
      <c r="D4" s="1089" t="s">
        <v>650</v>
      </c>
    </row>
    <row r="5" spans="2:7" s="1086" customFormat="1" ht="2.25" customHeight="1">
      <c r="B5" s="1090" t="s">
        <v>509</v>
      </c>
      <c r="C5" s="1091">
        <v>106</v>
      </c>
      <c r="E5" s="1092"/>
      <c r="G5" s="1093">
        <v>53492904.810000002</v>
      </c>
    </row>
    <row r="6" spans="2:7" s="1086" customFormat="1" ht="2.25" customHeight="1">
      <c r="B6" s="1090" t="s">
        <v>224</v>
      </c>
      <c r="C6" s="1091">
        <v>2051</v>
      </c>
      <c r="E6" s="1092"/>
      <c r="G6" s="1093">
        <v>215625134.37</v>
      </c>
    </row>
    <row r="7" spans="2:7" s="1086" customFormat="1" ht="2.25" customHeight="1">
      <c r="B7" s="1090" t="s">
        <v>510</v>
      </c>
      <c r="C7" s="1091">
        <v>101</v>
      </c>
      <c r="E7" s="1092"/>
      <c r="G7" s="1093">
        <v>939663221.68000007</v>
      </c>
    </row>
    <row r="8" spans="2:7" s="1086" customFormat="1" ht="2.25" customHeight="1">
      <c r="B8" s="1090" t="s">
        <v>36</v>
      </c>
      <c r="C8" s="1091">
        <v>2165</v>
      </c>
      <c r="E8" s="1092"/>
      <c r="G8" s="1093">
        <v>670203415.80999994</v>
      </c>
    </row>
    <row r="9" spans="2:7" s="1086" customFormat="1" ht="2.25" customHeight="1">
      <c r="B9" s="1090" t="s">
        <v>28</v>
      </c>
      <c r="C9" s="1091">
        <v>766</v>
      </c>
      <c r="E9" s="1092"/>
      <c r="G9" s="1093">
        <v>714446259.11000001</v>
      </c>
    </row>
    <row r="10" spans="2:7" s="1086" customFormat="1" ht="2.25" customHeight="1">
      <c r="B10" s="1090" t="s">
        <v>225</v>
      </c>
      <c r="C10" s="1091">
        <v>532</v>
      </c>
      <c r="E10" s="1092"/>
      <c r="G10" s="1093">
        <v>532381928</v>
      </c>
    </row>
    <row r="11" spans="2:7" s="1086" customFormat="1" ht="2.25" customHeight="1">
      <c r="B11" s="1090" t="s">
        <v>511</v>
      </c>
      <c r="C11" s="1091">
        <v>765</v>
      </c>
      <c r="E11" s="1092"/>
      <c r="G11" s="1093">
        <v>623199599.94000006</v>
      </c>
    </row>
    <row r="12" spans="2:7" s="1086" customFormat="1" ht="2.25" customHeight="1">
      <c r="B12" s="1090" t="s">
        <v>18</v>
      </c>
      <c r="C12" s="1091">
        <v>719</v>
      </c>
      <c r="E12" s="1092"/>
      <c r="G12" s="1093">
        <v>731370023</v>
      </c>
    </row>
    <row r="13" spans="2:7" s="1086" customFormat="1" ht="2.25" customHeight="1">
      <c r="B13" s="1090" t="s">
        <v>32</v>
      </c>
      <c r="C13" s="1091">
        <v>2763</v>
      </c>
      <c r="E13" s="1092"/>
      <c r="G13" s="1093">
        <v>211040300.21000001</v>
      </c>
    </row>
    <row r="14" spans="2:7" s="1086" customFormat="1" ht="2.25" customHeight="1">
      <c r="B14" s="1090" t="s">
        <v>13</v>
      </c>
      <c r="C14" s="1091">
        <v>840</v>
      </c>
      <c r="E14" s="1092"/>
      <c r="G14" s="1093"/>
    </row>
    <row r="15" spans="2:7" s="1086" customFormat="1" ht="2.25" customHeight="1">
      <c r="B15" s="1090" t="s">
        <v>512</v>
      </c>
      <c r="C15" s="1091">
        <v>6569</v>
      </c>
      <c r="E15" s="1092"/>
      <c r="G15" s="1093"/>
    </row>
    <row r="16" spans="2:7" s="1086" customFormat="1" ht="2.25" customHeight="1">
      <c r="B16" s="1090" t="s">
        <v>20</v>
      </c>
      <c r="C16" s="1091">
        <v>1842</v>
      </c>
      <c r="E16" s="1092"/>
      <c r="G16" s="1093"/>
    </row>
    <row r="17" spans="2:9" s="1086" customFormat="1" ht="2.25" customHeight="1">
      <c r="B17" s="1090" t="s">
        <v>23</v>
      </c>
      <c r="C17" s="1091">
        <v>137</v>
      </c>
      <c r="E17" s="1092"/>
      <c r="G17" s="1093"/>
    </row>
    <row r="18" spans="2:9" s="1086" customFormat="1" ht="2.25" customHeight="1">
      <c r="B18" s="1090" t="s">
        <v>10</v>
      </c>
      <c r="C18" s="1091">
        <v>676</v>
      </c>
      <c r="E18" s="1092"/>
      <c r="G18" s="1093"/>
    </row>
    <row r="19" spans="2:9" s="1086" customFormat="1" ht="2.25" customHeight="1">
      <c r="B19" s="1090" t="s">
        <v>513</v>
      </c>
      <c r="C19" s="1091">
        <v>658</v>
      </c>
      <c r="E19" s="1092"/>
      <c r="G19" s="1093"/>
    </row>
    <row r="20" spans="2:9" s="1086" customFormat="1" ht="2.25" customHeight="1">
      <c r="B20" s="1090" t="s">
        <v>514</v>
      </c>
      <c r="C20" s="1091">
        <v>1962</v>
      </c>
      <c r="E20" s="1092"/>
      <c r="G20" s="1093"/>
    </row>
    <row r="21" spans="2:9" s="1086" customFormat="1" ht="2.25" customHeight="1">
      <c r="B21" s="1090" t="s">
        <v>16</v>
      </c>
      <c r="C21" s="1091">
        <v>632</v>
      </c>
      <c r="E21" s="1092"/>
      <c r="G21" s="1093"/>
    </row>
    <row r="22" spans="2:9" s="1086" customFormat="1" ht="2.25" customHeight="1">
      <c r="B22" s="1090" t="s">
        <v>17</v>
      </c>
      <c r="C22" s="1091">
        <v>352</v>
      </c>
      <c r="E22" s="1092"/>
      <c r="G22" s="1093"/>
    </row>
    <row r="23" spans="2:9" s="1086" customFormat="1" ht="2.25" customHeight="1" thickBot="1">
      <c r="B23" s="1090" t="s">
        <v>35</v>
      </c>
      <c r="C23" s="1091">
        <v>6856</v>
      </c>
      <c r="D23" s="1094"/>
      <c r="E23" s="1092"/>
      <c r="G23" s="1095">
        <v>1427681110.02</v>
      </c>
    </row>
    <row r="25" spans="2:9" ht="13.5" thickBot="1"/>
    <row r="26" spans="2:9" ht="18" customHeight="1" thickTop="1">
      <c r="B26" s="1454" t="s">
        <v>515</v>
      </c>
      <c r="C26" s="1455"/>
      <c r="D26" s="1455"/>
      <c r="E26" s="1455"/>
      <c r="F26" s="1455"/>
      <c r="G26" s="1455"/>
      <c r="H26" s="1455"/>
      <c r="I26" s="1456"/>
    </row>
    <row r="27" spans="2:9" ht="15">
      <c r="B27" s="622" t="s">
        <v>112</v>
      </c>
      <c r="C27" s="623"/>
      <c r="D27" s="623"/>
      <c r="E27" s="623"/>
      <c r="F27" s="624"/>
      <c r="G27" s="623"/>
      <c r="H27" s="623"/>
      <c r="I27" s="625"/>
    </row>
    <row r="28" spans="2:9">
      <c r="B28" s="611"/>
      <c r="C28" s="612"/>
      <c r="D28" s="612"/>
      <c r="E28" s="612"/>
      <c r="F28" s="612"/>
      <c r="G28" s="612"/>
      <c r="H28" s="612"/>
      <c r="I28" s="613"/>
    </row>
    <row r="29" spans="2:9" ht="17.25" customHeight="1">
      <c r="B29" s="611"/>
      <c r="C29" s="612"/>
      <c r="D29" s="612"/>
      <c r="E29" s="612"/>
      <c r="F29" s="612"/>
      <c r="G29" s="612"/>
      <c r="H29" s="612"/>
      <c r="I29" s="613"/>
    </row>
    <row r="30" spans="2:9" ht="17.25" customHeight="1">
      <c r="B30" s="611"/>
      <c r="C30" s="612"/>
      <c r="D30" s="612"/>
      <c r="E30" s="612"/>
      <c r="F30" s="612"/>
      <c r="G30" s="612"/>
      <c r="H30" s="612"/>
      <c r="I30" s="613"/>
    </row>
    <row r="31" spans="2:9" ht="17.25" customHeight="1">
      <c r="B31" s="611"/>
      <c r="C31" s="612"/>
      <c r="D31" s="612"/>
      <c r="E31" s="612"/>
      <c r="F31" s="612"/>
      <c r="G31" s="612"/>
      <c r="H31" s="612"/>
      <c r="I31" s="613"/>
    </row>
    <row r="32" spans="2:9" ht="17.25" customHeight="1">
      <c r="B32" s="611"/>
      <c r="C32" s="612"/>
      <c r="D32" s="612"/>
      <c r="E32" s="612"/>
      <c r="F32" s="612"/>
      <c r="G32" s="612"/>
      <c r="H32" s="612"/>
      <c r="I32" s="613"/>
    </row>
    <row r="33" spans="2:9" ht="17.25" customHeight="1">
      <c r="B33" s="611"/>
      <c r="C33" s="612"/>
      <c r="D33" s="612"/>
      <c r="E33" s="612"/>
      <c r="F33" s="612"/>
      <c r="G33" s="612"/>
      <c r="H33" s="612"/>
      <c r="I33" s="613"/>
    </row>
    <row r="34" spans="2:9" ht="17.25" customHeight="1">
      <c r="B34" s="611"/>
      <c r="C34" s="612"/>
      <c r="D34" s="612"/>
      <c r="E34" s="612"/>
      <c r="F34" s="612"/>
      <c r="G34" s="612"/>
      <c r="H34" s="612"/>
      <c r="I34" s="613"/>
    </row>
    <row r="35" spans="2:9" ht="17.25" customHeight="1">
      <c r="B35" s="611"/>
      <c r="C35" s="612"/>
      <c r="D35" s="612"/>
      <c r="E35" s="612"/>
      <c r="F35" s="612"/>
      <c r="G35" s="612"/>
      <c r="H35" s="612"/>
      <c r="I35" s="613"/>
    </row>
    <row r="36" spans="2:9" ht="17.25" customHeight="1">
      <c r="B36" s="611"/>
      <c r="C36" s="612"/>
      <c r="D36" s="612"/>
      <c r="E36" s="612"/>
      <c r="F36" s="612"/>
      <c r="G36" s="612"/>
      <c r="H36" s="612"/>
      <c r="I36" s="613"/>
    </row>
    <row r="37" spans="2:9" ht="17.25" customHeight="1">
      <c r="B37" s="611"/>
      <c r="C37" s="612"/>
      <c r="D37" s="612"/>
      <c r="E37" s="612"/>
      <c r="F37" s="612"/>
      <c r="G37" s="612"/>
      <c r="H37" s="612"/>
      <c r="I37" s="613"/>
    </row>
    <row r="38" spans="2:9" ht="17.25" customHeight="1">
      <c r="B38" s="611"/>
      <c r="C38" s="612"/>
      <c r="D38" s="612"/>
      <c r="E38" s="612"/>
      <c r="F38" s="612"/>
      <c r="G38" s="612"/>
      <c r="H38" s="612"/>
      <c r="I38" s="613"/>
    </row>
    <row r="39" spans="2:9" ht="17.25" customHeight="1">
      <c r="B39" s="611"/>
      <c r="C39" s="612"/>
      <c r="D39" s="612"/>
      <c r="E39" s="612"/>
      <c r="F39" s="612"/>
      <c r="G39" s="612"/>
      <c r="H39" s="612"/>
      <c r="I39" s="613"/>
    </row>
    <row r="40" spans="2:9" ht="17.25" customHeight="1">
      <c r="B40" s="611"/>
      <c r="C40" s="612"/>
      <c r="D40" s="612"/>
      <c r="E40" s="612"/>
      <c r="F40" s="612"/>
      <c r="G40" s="612"/>
      <c r="H40" s="612"/>
      <c r="I40" s="613"/>
    </row>
    <row r="41" spans="2:9" ht="17.25" customHeight="1">
      <c r="B41" s="611"/>
      <c r="C41" s="612"/>
      <c r="D41" s="612"/>
      <c r="E41" s="612"/>
      <c r="F41" s="612"/>
      <c r="G41" s="612"/>
      <c r="H41" s="612"/>
      <c r="I41" s="613"/>
    </row>
    <row r="42" spans="2:9" ht="17.25" customHeight="1">
      <c r="B42" s="611"/>
      <c r="C42" s="612"/>
      <c r="D42" s="612"/>
      <c r="E42" s="612"/>
      <c r="F42" s="612"/>
      <c r="G42" s="612"/>
      <c r="H42" s="612"/>
      <c r="I42" s="613"/>
    </row>
    <row r="43" spans="2:9" ht="17.25" customHeight="1">
      <c r="B43" s="611"/>
      <c r="C43" s="612"/>
      <c r="D43" s="612"/>
      <c r="E43" s="612"/>
      <c r="F43" s="612"/>
      <c r="G43" s="612"/>
      <c r="H43" s="612"/>
      <c r="I43" s="613"/>
    </row>
    <row r="44" spans="2:9" ht="17.25" customHeight="1">
      <c r="B44" s="611"/>
      <c r="C44" s="612"/>
      <c r="D44" s="612"/>
      <c r="E44" s="612"/>
      <c r="F44" s="612"/>
      <c r="G44" s="612"/>
      <c r="H44" s="612"/>
      <c r="I44" s="613"/>
    </row>
    <row r="45" spans="2:9" ht="17.25" customHeight="1">
      <c r="B45" s="611"/>
      <c r="C45" s="612"/>
      <c r="D45" s="612"/>
      <c r="E45" s="612"/>
      <c r="F45" s="612"/>
      <c r="G45" s="612"/>
      <c r="H45" s="612"/>
      <c r="I45" s="613"/>
    </row>
    <row r="46" spans="2:9" ht="17.25" customHeight="1">
      <c r="B46" s="611"/>
      <c r="C46" s="612"/>
      <c r="D46" s="612"/>
      <c r="E46" s="612"/>
      <c r="F46" s="612"/>
      <c r="G46" s="612"/>
      <c r="H46" s="612"/>
      <c r="I46" s="613"/>
    </row>
    <row r="47" spans="2:9" ht="17.25" customHeight="1">
      <c r="B47" s="611"/>
      <c r="C47" s="612"/>
      <c r="D47" s="612"/>
      <c r="E47" s="612"/>
      <c r="F47" s="612"/>
      <c r="G47" s="612"/>
      <c r="H47" s="612"/>
      <c r="I47" s="613"/>
    </row>
    <row r="48" spans="2:9" ht="17.25" customHeight="1">
      <c r="B48" s="611"/>
      <c r="C48" s="612"/>
      <c r="D48" s="612"/>
      <c r="E48" s="612"/>
      <c r="F48" s="612"/>
      <c r="G48" s="612"/>
      <c r="H48" s="612"/>
      <c r="I48" s="613"/>
    </row>
    <row r="49" spans="2:9">
      <c r="B49" s="611"/>
      <c r="C49" s="612"/>
      <c r="D49" s="612"/>
      <c r="E49" s="612"/>
      <c r="F49" s="612"/>
      <c r="G49" s="612"/>
      <c r="H49" s="612"/>
      <c r="I49" s="613"/>
    </row>
    <row r="50" spans="2:9">
      <c r="B50" s="611"/>
      <c r="C50" s="612"/>
      <c r="D50" s="612"/>
      <c r="E50" s="612"/>
      <c r="F50" s="612"/>
      <c r="G50" s="612"/>
      <c r="H50" s="612"/>
      <c r="I50" s="613"/>
    </row>
    <row r="51" spans="2:9">
      <c r="B51" s="611"/>
      <c r="C51" s="612"/>
      <c r="D51" s="612"/>
      <c r="E51" s="612"/>
      <c r="F51" s="612"/>
      <c r="G51" s="612"/>
      <c r="H51" s="612"/>
      <c r="I51" s="613"/>
    </row>
    <row r="52" spans="2:9" ht="13.5" thickBot="1">
      <c r="B52" s="614"/>
      <c r="C52" s="615"/>
      <c r="D52" s="615"/>
      <c r="E52" s="615"/>
      <c r="F52" s="615"/>
      <c r="G52" s="615"/>
      <c r="H52" s="615"/>
      <c r="I52" s="616"/>
    </row>
    <row r="53" spans="2:9" ht="16.5" thickTop="1">
      <c r="B53" s="1457" t="s">
        <v>306</v>
      </c>
      <c r="C53" s="1457"/>
      <c r="D53" s="1457"/>
      <c r="E53" s="1457"/>
      <c r="F53" s="1458"/>
      <c r="G53" s="1458"/>
      <c r="H53" s="1458"/>
      <c r="I53" s="1458"/>
    </row>
  </sheetData>
  <sheetProtection password="CF4C" sheet="1" objects="1" scenarios="1"/>
  <mergeCells count="4">
    <mergeCell ref="B26:E26"/>
    <mergeCell ref="F26:I26"/>
    <mergeCell ref="B53:E53"/>
    <mergeCell ref="F53:I53"/>
  </mergeCells>
  <printOptions horizontalCentered="1"/>
  <pageMargins left="0.39370078740157483" right="0.39370078740157483" top="0.59055118110236227" bottom="0.59055118110236227" header="0" footer="0"/>
  <pageSetup orientation="landscape" r:id="rId1"/>
  <drawing r:id="rId2"/>
  <tableParts count="1">
    <tablePart r:id="rId3"/>
  </tableParts>
</worksheet>
</file>

<file path=xl/worksheets/sheet72.xml><?xml version="1.0" encoding="utf-8"?>
<worksheet xmlns="http://schemas.openxmlformats.org/spreadsheetml/2006/main" xmlns:r="http://schemas.openxmlformats.org/officeDocument/2006/relationships">
  <sheetPr enableFormatConditionsCalculation="0">
    <tabColor theme="5" tint="0.39997558519241921"/>
    <pageSetUpPr fitToPage="1"/>
  </sheetPr>
  <dimension ref="A1:J45"/>
  <sheetViews>
    <sheetView showGridLines="0" workbookViewId="0">
      <selection activeCell="N14" sqref="N14"/>
    </sheetView>
  </sheetViews>
  <sheetFormatPr baseColWidth="10" defaultRowHeight="12.75"/>
  <cols>
    <col min="1" max="1" width="1.7109375" customWidth="1"/>
    <col min="2" max="2" width="27.7109375" customWidth="1"/>
    <col min="3" max="4" width="12.7109375" style="42" customWidth="1"/>
    <col min="5" max="5" width="12.7109375" style="42" hidden="1" customWidth="1"/>
    <col min="6" max="6" width="12.7109375" style="42" customWidth="1"/>
    <col min="7" max="7" width="2.7109375" customWidth="1"/>
    <col min="9" max="9" width="12.28515625" bestFit="1" customWidth="1"/>
  </cols>
  <sheetData>
    <row r="1" spans="1:10" ht="9" customHeight="1">
      <c r="A1" s="5"/>
    </row>
    <row r="2" spans="1:10" ht="24" customHeight="1" thickBot="1">
      <c r="B2" s="1136" t="s">
        <v>422</v>
      </c>
      <c r="C2" s="1136"/>
      <c r="D2" s="1136"/>
      <c r="E2" s="1136"/>
      <c r="F2" s="1136"/>
    </row>
    <row r="3" spans="1:10" ht="27" customHeight="1" thickBot="1">
      <c r="B3" s="416" t="s">
        <v>194</v>
      </c>
      <c r="C3" s="416" t="s">
        <v>1</v>
      </c>
      <c r="D3" s="416" t="s">
        <v>2</v>
      </c>
      <c r="E3" s="416" t="s">
        <v>3</v>
      </c>
      <c r="F3" s="416" t="s">
        <v>4</v>
      </c>
    </row>
    <row r="4" spans="1:10" ht="15" customHeight="1" thickBot="1">
      <c r="B4" s="424" t="s">
        <v>6</v>
      </c>
      <c r="C4" s="395">
        <v>19.374330829999998</v>
      </c>
      <c r="D4" s="395">
        <v>0</v>
      </c>
      <c r="E4" s="395">
        <v>0</v>
      </c>
      <c r="F4" s="397">
        <v>19.374330829999998</v>
      </c>
      <c r="I4" s="71"/>
      <c r="J4" s="71"/>
    </row>
    <row r="5" spans="1:10" ht="15" customHeight="1" thickBot="1">
      <c r="B5" s="425" t="s">
        <v>7</v>
      </c>
      <c r="C5" s="398">
        <v>34.681137999999997</v>
      </c>
      <c r="D5" s="398">
        <v>30.747606000000001</v>
      </c>
      <c r="E5" s="398">
        <v>0</v>
      </c>
      <c r="F5" s="397">
        <v>65.428743999999995</v>
      </c>
      <c r="I5" s="71"/>
      <c r="J5" s="71"/>
    </row>
    <row r="6" spans="1:10" ht="15" customHeight="1" thickBot="1">
      <c r="B6" s="424" t="s">
        <v>8</v>
      </c>
      <c r="C6" s="395">
        <v>51.829515879999995</v>
      </c>
      <c r="D6" s="395">
        <v>0</v>
      </c>
      <c r="E6" s="395">
        <v>0</v>
      </c>
      <c r="F6" s="397">
        <v>51.829515879999995</v>
      </c>
      <c r="I6" s="71"/>
      <c r="J6" s="71"/>
    </row>
    <row r="7" spans="1:10" ht="15" customHeight="1" thickBot="1">
      <c r="B7" s="425" t="s">
        <v>9</v>
      </c>
      <c r="C7" s="398">
        <v>50.925552289999999</v>
      </c>
      <c r="D7" s="398">
        <v>23.471302999999999</v>
      </c>
      <c r="E7" s="398">
        <v>0</v>
      </c>
      <c r="F7" s="397">
        <v>74.396855289999991</v>
      </c>
      <c r="I7" s="71"/>
      <c r="J7" s="71"/>
    </row>
    <row r="8" spans="1:10" ht="15" customHeight="1" thickBot="1">
      <c r="B8" s="424" t="s">
        <v>12</v>
      </c>
      <c r="C8" s="395">
        <v>248.24577054000002</v>
      </c>
      <c r="D8" s="395">
        <v>34.785232049999998</v>
      </c>
      <c r="E8" s="395">
        <v>0</v>
      </c>
      <c r="F8" s="397">
        <v>283.03100259000001</v>
      </c>
      <c r="I8" s="71"/>
      <c r="J8" s="71"/>
    </row>
    <row r="9" spans="1:10" ht="15" customHeight="1" thickBot="1">
      <c r="B9" s="425" t="s">
        <v>13</v>
      </c>
      <c r="C9" s="398">
        <v>107.99126434999999</v>
      </c>
      <c r="D9" s="398">
        <v>53.978952999999997</v>
      </c>
      <c r="E9" s="398">
        <v>0</v>
      </c>
      <c r="F9" s="397">
        <v>161.97021734999998</v>
      </c>
      <c r="I9" s="71"/>
      <c r="J9" s="71"/>
    </row>
    <row r="10" spans="1:10" ht="15" customHeight="1" thickBot="1">
      <c r="B10" s="424" t="s">
        <v>223</v>
      </c>
      <c r="C10" s="395">
        <v>48.72901366</v>
      </c>
      <c r="D10" s="395">
        <v>14.382866029999999</v>
      </c>
      <c r="E10" s="395">
        <v>0</v>
      </c>
      <c r="F10" s="397">
        <v>63.111879689999995</v>
      </c>
      <c r="I10" s="71"/>
      <c r="J10" s="71"/>
    </row>
    <row r="11" spans="1:10" ht="15" customHeight="1" thickBot="1">
      <c r="B11" s="425" t="s">
        <v>11</v>
      </c>
      <c r="C11" s="398">
        <v>21.922559879999998</v>
      </c>
      <c r="D11" s="398">
        <v>2.9977710000000002</v>
      </c>
      <c r="E11" s="398">
        <v>0</v>
      </c>
      <c r="F11" s="397">
        <v>24.920330879999998</v>
      </c>
      <c r="I11" s="71"/>
      <c r="J11" s="71"/>
    </row>
    <row r="12" spans="1:10" ht="15" customHeight="1" thickBot="1">
      <c r="B12" s="424" t="s">
        <v>14</v>
      </c>
      <c r="C12" s="395">
        <v>0</v>
      </c>
      <c r="D12" s="395">
        <v>0</v>
      </c>
      <c r="E12" s="395">
        <v>0</v>
      </c>
      <c r="F12" s="397">
        <v>0</v>
      </c>
      <c r="I12" s="71"/>
      <c r="J12" s="71"/>
    </row>
    <row r="13" spans="1:10" ht="15" customHeight="1" thickBot="1">
      <c r="B13" s="425" t="s">
        <v>15</v>
      </c>
      <c r="C13" s="398">
        <v>97.34310262000001</v>
      </c>
      <c r="D13" s="398">
        <v>49.326866000000003</v>
      </c>
      <c r="E13" s="398">
        <v>0</v>
      </c>
      <c r="F13" s="397">
        <v>146.66996862000002</v>
      </c>
      <c r="I13" s="71"/>
      <c r="J13" s="71"/>
    </row>
    <row r="14" spans="1:10" ht="15" customHeight="1" thickBot="1">
      <c r="B14" s="424" t="s">
        <v>16</v>
      </c>
      <c r="C14" s="395">
        <v>53.534883310000005</v>
      </c>
      <c r="D14" s="395">
        <v>31.026043349375001</v>
      </c>
      <c r="E14" s="395">
        <v>0</v>
      </c>
      <c r="F14" s="397">
        <v>84.560926659375014</v>
      </c>
      <c r="I14" s="71"/>
      <c r="J14" s="71"/>
    </row>
    <row r="15" spans="1:10" ht="15" customHeight="1" thickBot="1">
      <c r="B15" s="425" t="s">
        <v>17</v>
      </c>
      <c r="C15" s="398">
        <v>141.72025388</v>
      </c>
      <c r="D15" s="398">
        <v>0</v>
      </c>
      <c r="E15" s="398">
        <v>0</v>
      </c>
      <c r="F15" s="397">
        <v>141.72025388</v>
      </c>
      <c r="I15" s="71"/>
      <c r="J15" s="71"/>
    </row>
    <row r="16" spans="1:10" ht="15" customHeight="1" thickBot="1">
      <c r="B16" s="424" t="s">
        <v>18</v>
      </c>
      <c r="C16" s="395">
        <v>75.2977633</v>
      </c>
      <c r="D16" s="395">
        <v>68.712218180000008</v>
      </c>
      <c r="E16" s="395">
        <v>0</v>
      </c>
      <c r="F16" s="397">
        <v>144.00998148000002</v>
      </c>
      <c r="I16" s="71"/>
      <c r="J16" s="71"/>
    </row>
    <row r="17" spans="2:10" ht="15" customHeight="1" thickBot="1">
      <c r="B17" s="425" t="s">
        <v>19</v>
      </c>
      <c r="C17" s="398">
        <v>34.708930330000001</v>
      </c>
      <c r="D17" s="398">
        <v>26.881336999999998</v>
      </c>
      <c r="E17" s="398">
        <v>0</v>
      </c>
      <c r="F17" s="397">
        <v>61.590267330000003</v>
      </c>
      <c r="I17" s="71"/>
      <c r="J17" s="71"/>
    </row>
    <row r="18" spans="2:10" ht="15" customHeight="1" thickBot="1">
      <c r="B18" s="424" t="s">
        <v>20</v>
      </c>
      <c r="C18" s="395">
        <v>80.570890000000006</v>
      </c>
      <c r="D18" s="395">
        <v>0</v>
      </c>
      <c r="E18" s="395">
        <v>0</v>
      </c>
      <c r="F18" s="397">
        <v>80.570890000000006</v>
      </c>
      <c r="I18" s="71"/>
      <c r="J18" s="71"/>
    </row>
    <row r="19" spans="2:10" ht="15" customHeight="1" thickBot="1">
      <c r="B19" s="425" t="s">
        <v>224</v>
      </c>
      <c r="C19" s="398">
        <v>95.296993889999996</v>
      </c>
      <c r="D19" s="398">
        <v>45.815528310000005</v>
      </c>
      <c r="E19" s="398">
        <v>0</v>
      </c>
      <c r="F19" s="397">
        <v>141.1125222</v>
      </c>
      <c r="I19" s="71"/>
      <c r="J19" s="71"/>
    </row>
    <row r="20" spans="2:10" ht="15" customHeight="1" thickBot="1">
      <c r="B20" s="424" t="s">
        <v>22</v>
      </c>
      <c r="C20" s="395">
        <v>48.787485109999999</v>
      </c>
      <c r="D20" s="395">
        <v>19.460073000000001</v>
      </c>
      <c r="E20" s="395">
        <v>0</v>
      </c>
      <c r="F20" s="397">
        <v>68.24755811</v>
      </c>
      <c r="I20" s="71"/>
      <c r="J20" s="71"/>
    </row>
    <row r="21" spans="2:10" ht="15" customHeight="1" thickBot="1">
      <c r="B21" s="425" t="s">
        <v>23</v>
      </c>
      <c r="C21" s="398">
        <v>45.774458000000003</v>
      </c>
      <c r="D21" s="398">
        <v>36.701345000000003</v>
      </c>
      <c r="E21" s="398">
        <v>0</v>
      </c>
      <c r="F21" s="397">
        <v>82.475803000000013</v>
      </c>
      <c r="I21" s="71"/>
      <c r="J21" s="71"/>
    </row>
    <row r="22" spans="2:10" ht="15" customHeight="1" thickBot="1">
      <c r="B22" s="424" t="s">
        <v>24</v>
      </c>
      <c r="C22" s="395">
        <v>45.870113170000003</v>
      </c>
      <c r="D22" s="395">
        <v>36.516765556500005</v>
      </c>
      <c r="E22" s="395">
        <v>0</v>
      </c>
      <c r="F22" s="397">
        <v>82.386878726500015</v>
      </c>
      <c r="I22" s="71"/>
      <c r="J22" s="71"/>
    </row>
    <row r="23" spans="2:10" ht="15" customHeight="1" thickBot="1">
      <c r="B23" s="425" t="s">
        <v>25</v>
      </c>
      <c r="C23" s="398">
        <v>143.33958482</v>
      </c>
      <c r="D23" s="398">
        <v>0</v>
      </c>
      <c r="E23" s="398">
        <v>0</v>
      </c>
      <c r="F23" s="397">
        <v>143.33958482</v>
      </c>
      <c r="I23" s="71"/>
      <c r="J23" s="71"/>
    </row>
    <row r="24" spans="2:10" ht="15" customHeight="1" thickBot="1">
      <c r="B24" s="424" t="s">
        <v>36</v>
      </c>
      <c r="C24" s="395">
        <v>98.140055599999997</v>
      </c>
      <c r="D24" s="395">
        <v>0</v>
      </c>
      <c r="E24" s="395">
        <v>0</v>
      </c>
      <c r="F24" s="397">
        <v>98.140055599999997</v>
      </c>
      <c r="I24" s="71"/>
      <c r="J24" s="71"/>
    </row>
    <row r="25" spans="2:10" ht="15" customHeight="1" thickBot="1">
      <c r="B25" s="425" t="s">
        <v>225</v>
      </c>
      <c r="C25" s="398">
        <v>30.742830980000001</v>
      </c>
      <c r="D25" s="398">
        <v>26.10951</v>
      </c>
      <c r="E25" s="398">
        <v>0</v>
      </c>
      <c r="F25" s="397">
        <v>56.852340980000001</v>
      </c>
      <c r="I25" s="71"/>
      <c r="J25" s="71"/>
    </row>
    <row r="26" spans="2:10" ht="15" customHeight="1" thickBot="1">
      <c r="B26" s="424" t="s">
        <v>27</v>
      </c>
      <c r="C26" s="395">
        <v>26.150000030000001</v>
      </c>
      <c r="D26" s="395">
        <v>26.491291</v>
      </c>
      <c r="E26" s="395">
        <v>0</v>
      </c>
      <c r="F26" s="397">
        <v>52.641291030000005</v>
      </c>
      <c r="I26" s="71"/>
      <c r="J26" s="71"/>
    </row>
    <row r="27" spans="2:10" ht="15" customHeight="1" thickBot="1">
      <c r="B27" s="425" t="s">
        <v>28</v>
      </c>
      <c r="C27" s="398">
        <v>25.867562929999998</v>
      </c>
      <c r="D27" s="398">
        <v>21.985838999999999</v>
      </c>
      <c r="E27" s="398">
        <v>0</v>
      </c>
      <c r="F27" s="397">
        <v>47.853401929999997</v>
      </c>
      <c r="I27" s="71"/>
      <c r="J27" s="71"/>
    </row>
    <row r="28" spans="2:10" ht="15" customHeight="1" thickBot="1">
      <c r="B28" s="424" t="s">
        <v>29</v>
      </c>
      <c r="C28" s="395">
        <v>49.239833129999994</v>
      </c>
      <c r="D28" s="395">
        <v>50.829291366499987</v>
      </c>
      <c r="E28" s="395">
        <v>0</v>
      </c>
      <c r="F28" s="397">
        <v>100.06912449649998</v>
      </c>
      <c r="I28" s="71"/>
      <c r="J28" s="71"/>
    </row>
    <row r="29" spans="2:10" ht="15" customHeight="1" thickBot="1">
      <c r="B29" s="425" t="s">
        <v>37</v>
      </c>
      <c r="C29" s="398">
        <v>2.8284680899999999</v>
      </c>
      <c r="D29" s="398">
        <v>2.6846549999999998</v>
      </c>
      <c r="E29" s="398">
        <v>0</v>
      </c>
      <c r="F29" s="397">
        <v>5.5131230899999997</v>
      </c>
      <c r="I29" s="71"/>
      <c r="J29" s="71"/>
    </row>
    <row r="30" spans="2:10" ht="15" customHeight="1" thickBot="1">
      <c r="B30" s="424" t="s">
        <v>30</v>
      </c>
      <c r="C30" s="395">
        <v>57.536165220000001</v>
      </c>
      <c r="D30" s="395">
        <v>22.387582377147005</v>
      </c>
      <c r="E30" s="395">
        <v>0</v>
      </c>
      <c r="F30" s="397">
        <v>79.923747597147013</v>
      </c>
      <c r="I30" s="71"/>
      <c r="J30" s="71"/>
    </row>
    <row r="31" spans="2:10" ht="15" customHeight="1" thickBot="1">
      <c r="B31" s="425" t="s">
        <v>31</v>
      </c>
      <c r="C31" s="398">
        <v>56.18107972</v>
      </c>
      <c r="D31" s="398">
        <v>56.330880999999998</v>
      </c>
      <c r="E31" s="398">
        <v>0</v>
      </c>
      <c r="F31" s="397">
        <v>112.51196071999999</v>
      </c>
      <c r="I31" s="71"/>
      <c r="J31" s="71"/>
    </row>
    <row r="32" spans="2:10" ht="15" customHeight="1" thickBot="1">
      <c r="B32" s="424" t="s">
        <v>32</v>
      </c>
      <c r="C32" s="395">
        <v>13.1298253</v>
      </c>
      <c r="D32" s="395">
        <v>10.790777240000001</v>
      </c>
      <c r="E32" s="395">
        <v>0</v>
      </c>
      <c r="F32" s="397">
        <v>23.920602540000001</v>
      </c>
      <c r="I32" s="42"/>
      <c r="J32" s="71"/>
    </row>
    <row r="33" spans="2:10" ht="15" customHeight="1" thickBot="1">
      <c r="B33" s="425" t="s">
        <v>262</v>
      </c>
      <c r="C33" s="398">
        <v>200.69129976999997</v>
      </c>
      <c r="D33" s="398">
        <v>64.625723899999997</v>
      </c>
      <c r="E33" s="398">
        <v>0</v>
      </c>
      <c r="F33" s="397">
        <v>265.31702366999997</v>
      </c>
      <c r="I33" s="71"/>
      <c r="J33" s="71"/>
    </row>
    <row r="34" spans="2:10" ht="15" customHeight="1" thickBot="1">
      <c r="B34" s="424" t="s">
        <v>34</v>
      </c>
      <c r="C34" s="395">
        <v>55.544849579999998</v>
      </c>
      <c r="D34" s="395">
        <v>22.45579</v>
      </c>
      <c r="E34" s="395">
        <v>0</v>
      </c>
      <c r="F34" s="397">
        <v>78.000639579999998</v>
      </c>
      <c r="I34" s="71"/>
      <c r="J34" s="71"/>
    </row>
    <row r="35" spans="2:10" ht="15" customHeight="1" thickBot="1">
      <c r="B35" s="425" t="s">
        <v>35</v>
      </c>
      <c r="C35" s="398">
        <v>72.971117230000004</v>
      </c>
      <c r="D35" s="398">
        <v>44.313362549999994</v>
      </c>
      <c r="E35" s="398">
        <v>0</v>
      </c>
      <c r="F35" s="397">
        <v>117.28447978</v>
      </c>
      <c r="I35" s="71"/>
      <c r="J35" s="71"/>
    </row>
    <row r="36" spans="2:10" ht="13.5" thickBot="1">
      <c r="B36" s="424" t="s">
        <v>96</v>
      </c>
      <c r="C36" s="395">
        <v>0</v>
      </c>
      <c r="D36" s="395">
        <v>0</v>
      </c>
      <c r="E36" s="395">
        <v>0</v>
      </c>
      <c r="F36" s="397">
        <v>0</v>
      </c>
    </row>
    <row r="37" spans="2:10" ht="13.5" thickBot="1">
      <c r="B37" s="425" t="s">
        <v>101</v>
      </c>
      <c r="C37" s="398">
        <v>0.54725731000000011</v>
      </c>
      <c r="D37" s="398">
        <v>0</v>
      </c>
      <c r="E37" s="398">
        <v>0</v>
      </c>
      <c r="F37" s="397">
        <v>0.54725731000000011</v>
      </c>
    </row>
    <row r="38" spans="2:10" s="5" customFormat="1" ht="15" customHeight="1" thickBot="1">
      <c r="B38" s="422" t="s">
        <v>54</v>
      </c>
      <c r="C38" s="397">
        <v>2135.5139487500001</v>
      </c>
      <c r="D38" s="397">
        <v>823.80861090952192</v>
      </c>
      <c r="E38" s="397">
        <v>0</v>
      </c>
      <c r="F38" s="397">
        <v>2959.3225596595225</v>
      </c>
      <c r="I38" s="70"/>
    </row>
    <row r="39" spans="2:10">
      <c r="B39" s="230" t="s">
        <v>375</v>
      </c>
      <c r="C39" s="233"/>
      <c r="D39" s="233"/>
      <c r="E39" s="233"/>
      <c r="F39" s="233"/>
    </row>
    <row r="40" spans="2:10" ht="5.25" customHeight="1"/>
    <row r="45" spans="2:10">
      <c r="B45" s="242"/>
    </row>
  </sheetData>
  <sheetProtection password="CF4C" sheet="1" objects="1" scenarios="1"/>
  <customSheetViews>
    <customSheetView guid="{E9B43C8C-734F-433D-AD37-344F9303B5CC}" showPageBreaks="1" showGridLines="0" showRuler="0">
      <pane ySplit="13" topLeftCell="A28" activePane="bottomLeft"/>
      <selection pane="bottomLeft" activeCell="J32" sqref="J32"/>
      <pageMargins left="0.59055118110236227" right="0.59055118110236227" top="0.78740157480314965" bottom="0.39370078740157483" header="0" footer="0.19685039370078741"/>
      <printOptions horizontalCentered="1"/>
      <pageSetup orientation="portrait" r:id="rId1"/>
      <headerFooter alignWithMargins="0"/>
    </customSheetView>
    <customSheetView guid="{9BF398E0-33D8-4E64-94A2-9B7C822C8383}" showPageBreaks="1" showGridLines="0" printArea="1" showRuler="0">
      <pane xSplit="8.8249999999999993" ySplit="7" topLeftCell="J20" activePane="bottomLeft"/>
      <selection pane="bottomLeft" activeCell="I41" sqref="I41"/>
      <pageMargins left="0.75" right="0.75" top="1" bottom="1" header="0" footer="0"/>
      <pageSetup orientation="portrait" r:id="rId2"/>
      <headerFooter alignWithMargins="0"/>
    </customSheetView>
    <customSheetView guid="{6DCFE324-2DF9-4BB0-88BD-A4AD316C7A9E}" showPageBreaks="1" showGridLines="0" printArea="1" hiddenRows="1" hiddenColumns="1" showRuler="0">
      <pane ySplit="15" topLeftCell="A30"/>
      <pageMargins left="0.75" right="0.75" top="1" bottom="1" header="0" footer="0"/>
      <pageSetup orientation="portrait" r:id="rId3"/>
      <headerFooter alignWithMargins="0"/>
    </customSheetView>
    <customSheetView guid="{48A744A8-8180-4A3B-8108-49EF41816969}" showGridLines="0" hiddenRows="1" hiddenColumns="1" showRuler="0" topLeftCell="B1">
      <pane ySplit="13" topLeftCell="A33" activePane="bottomLeft"/>
      <selection pane="bottomLeft" activeCell="I45" sqref="I45"/>
      <pageMargins left="0.59055118110236227" right="0.59055118110236227" top="0.78740157480314965" bottom="0.59055118110236227" header="0" footer="0"/>
      <printOptions horizontalCentered="1"/>
      <pageSetup orientation="portrait" r:id="rId4"/>
      <headerFooter alignWithMargins="0"/>
    </customSheetView>
    <customSheetView guid="{9E220BD5-A526-40BD-8239-3A0461590922}" showGridLines="0" showRuler="0">
      <pane ySplit="13" topLeftCell="A28" activePane="bottomLeft"/>
      <selection pane="bottomLeft" activeCell="J32" sqref="J32"/>
      <pageMargins left="0.59055118110236227" right="0.59055118110236227" top="0.78740157480314965" bottom="0.39370078740157483" header="0" footer="0.19685039370078741"/>
      <printOptions horizontalCentered="1"/>
      <pageSetup orientation="portrait" r:id="rId5"/>
      <headerFooter alignWithMargins="0"/>
    </customSheetView>
  </customSheetViews>
  <mergeCells count="1">
    <mergeCell ref="B2:F2"/>
  </mergeCells>
  <phoneticPr fontId="9" type="noConversion"/>
  <printOptions horizontalCentered="1" verticalCentered="1"/>
  <pageMargins left="0.59055118110236227" right="0.59055118110236227" top="0.78740157480314965" bottom="0.39370078740157483" header="0" footer="0.19685039370078741"/>
  <pageSetup orientation="portrait" r:id="rId6"/>
  <headerFooter alignWithMargins="0"/>
  <cellWatches>
    <cellWatch r="C4"/>
  </cellWatche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 enableFormatConditionsCalculation="0">
    <tabColor theme="9" tint="-0.249977111117893"/>
    <pageSetUpPr fitToPage="1"/>
  </sheetPr>
  <dimension ref="A1:I54"/>
  <sheetViews>
    <sheetView showGridLines="0" zoomScaleNormal="100" workbookViewId="0">
      <selection activeCell="I22" sqref="I22"/>
    </sheetView>
  </sheetViews>
  <sheetFormatPr baseColWidth="10" defaultRowHeight="12.75"/>
  <cols>
    <col min="1" max="1" width="1.7109375" customWidth="1"/>
    <col min="2" max="2" width="23" bestFit="1" customWidth="1"/>
    <col min="3" max="6" width="15.85546875" bestFit="1" customWidth="1"/>
    <col min="7" max="7" width="17.140625" bestFit="1" customWidth="1"/>
    <col min="8" max="8" width="1.7109375" customWidth="1"/>
    <col min="9" max="9" width="17.140625" bestFit="1" customWidth="1"/>
    <col min="11" max="11" width="12.5703125" customWidth="1"/>
  </cols>
  <sheetData>
    <row r="1" spans="1:9" s="46" customFormat="1" ht="12" customHeight="1">
      <c r="A1" s="261"/>
      <c r="B1" s="259"/>
      <c r="C1" s="260"/>
      <c r="D1" s="260"/>
      <c r="E1" s="260"/>
      <c r="F1" s="260"/>
      <c r="G1" s="260"/>
      <c r="H1" s="261"/>
      <c r="I1" s="260"/>
    </row>
    <row r="2" spans="1:9" ht="30" customHeight="1">
      <c r="A2" s="263"/>
      <c r="B2" s="1098" t="s">
        <v>518</v>
      </c>
      <c r="C2" s="1098"/>
      <c r="D2" s="1098"/>
      <c r="E2" s="1098"/>
      <c r="F2" s="1098"/>
      <c r="G2" s="1098"/>
      <c r="H2" s="263"/>
    </row>
    <row r="3" spans="1:9" ht="15" customHeight="1" thickBot="1">
      <c r="A3" s="263"/>
      <c r="B3" s="412" t="s">
        <v>112</v>
      </c>
      <c r="C3" s="405"/>
      <c r="D3" s="405"/>
      <c r="E3" s="405"/>
      <c r="F3" s="405"/>
      <c r="G3" s="405"/>
      <c r="H3" s="263"/>
    </row>
    <row r="4" spans="1:9" ht="15" customHeight="1" thickBot="1">
      <c r="A4" s="263"/>
      <c r="B4" s="1115" t="s">
        <v>230</v>
      </c>
      <c r="C4" s="1121" t="s">
        <v>279</v>
      </c>
      <c r="D4" s="1122"/>
      <c r="E4" s="1122"/>
      <c r="F4" s="1123"/>
      <c r="G4" s="1117" t="s">
        <v>255</v>
      </c>
      <c r="H4" s="263"/>
    </row>
    <row r="5" spans="1:9" ht="19.5" customHeight="1" thickBot="1">
      <c r="A5" s="263"/>
      <c r="B5" s="1116"/>
      <c r="C5" s="441" t="s">
        <v>280</v>
      </c>
      <c r="D5" s="441" t="s">
        <v>281</v>
      </c>
      <c r="E5" s="441" t="s">
        <v>282</v>
      </c>
      <c r="F5" s="992" t="s">
        <v>601</v>
      </c>
      <c r="G5" s="1118"/>
      <c r="H5" s="263"/>
    </row>
    <row r="6" spans="1:9" ht="15" customHeight="1" thickBot="1">
      <c r="A6" s="263"/>
      <c r="B6" s="406" t="s">
        <v>6</v>
      </c>
      <c r="C6" s="481">
        <v>140.63896416</v>
      </c>
      <c r="D6" s="481">
        <v>57.402789009999999</v>
      </c>
      <c r="E6" s="481">
        <v>46.068652999999998</v>
      </c>
      <c r="F6" s="481">
        <v>84.732789041142098</v>
      </c>
      <c r="G6" s="482">
        <v>328.84319521114207</v>
      </c>
      <c r="H6" s="263"/>
    </row>
    <row r="7" spans="1:9" ht="15" customHeight="1" thickBot="1">
      <c r="A7" s="263"/>
      <c r="B7" s="407" t="s">
        <v>7</v>
      </c>
      <c r="C7" s="480">
        <v>273.79497151999999</v>
      </c>
      <c r="D7" s="480">
        <v>53.439353439999998</v>
      </c>
      <c r="E7" s="480">
        <v>77.272323</v>
      </c>
      <c r="F7" s="480">
        <v>435.32587165521215</v>
      </c>
      <c r="G7" s="482">
        <v>839.83251961521216</v>
      </c>
      <c r="H7" s="263"/>
    </row>
    <row r="8" spans="1:9" ht="15" customHeight="1" thickBot="1">
      <c r="A8" s="263"/>
      <c r="B8" s="406" t="s">
        <v>8</v>
      </c>
      <c r="C8" s="481">
        <v>199.70339250999999</v>
      </c>
      <c r="D8" s="481">
        <v>39.280335999999998</v>
      </c>
      <c r="E8" s="481">
        <v>46.385614799999999</v>
      </c>
      <c r="F8" s="481">
        <v>94.919838673539473</v>
      </c>
      <c r="G8" s="482">
        <v>380.28918198353944</v>
      </c>
      <c r="H8" s="263"/>
    </row>
    <row r="9" spans="1:9" ht="15" customHeight="1" thickBot="1">
      <c r="A9" s="263"/>
      <c r="B9" s="407" t="s">
        <v>9</v>
      </c>
      <c r="C9" s="480">
        <v>184.71243214999998</v>
      </c>
      <c r="D9" s="480">
        <v>187.32961417999999</v>
      </c>
      <c r="E9" s="480">
        <v>15.66887509</v>
      </c>
      <c r="F9" s="480">
        <v>21.150707106372103</v>
      </c>
      <c r="G9" s="482">
        <v>408.8616285263721</v>
      </c>
      <c r="H9" s="263"/>
    </row>
    <row r="10" spans="1:9" ht="15" customHeight="1" thickBot="1">
      <c r="A10" s="263"/>
      <c r="B10" s="406" t="s">
        <v>12</v>
      </c>
      <c r="C10" s="481">
        <v>605.42482764550005</v>
      </c>
      <c r="D10" s="481">
        <v>157.55673632200003</v>
      </c>
      <c r="E10" s="481">
        <v>171.24204722250002</v>
      </c>
      <c r="F10" s="481">
        <v>56.308709500729911</v>
      </c>
      <c r="G10" s="482">
        <v>990.53232069072999</v>
      </c>
      <c r="H10" s="263"/>
    </row>
    <row r="11" spans="1:9" ht="15" customHeight="1" thickBot="1">
      <c r="A11" s="263"/>
      <c r="B11" s="407" t="s">
        <v>13</v>
      </c>
      <c r="C11" s="480">
        <v>563.01881407000008</v>
      </c>
      <c r="D11" s="480">
        <v>274.05831735999999</v>
      </c>
      <c r="E11" s="480">
        <v>121.84404600000001</v>
      </c>
      <c r="F11" s="480">
        <v>372.16957150291103</v>
      </c>
      <c r="G11" s="482">
        <v>1331.0907489329111</v>
      </c>
      <c r="H11" s="263"/>
    </row>
    <row r="12" spans="1:9" ht="15" customHeight="1" thickBot="1">
      <c r="A12" s="263"/>
      <c r="B12" s="406" t="s">
        <v>223</v>
      </c>
      <c r="C12" s="481">
        <v>245.31395008000001</v>
      </c>
      <c r="D12" s="481">
        <v>90.538046370000004</v>
      </c>
      <c r="E12" s="481">
        <v>130.57898399999999</v>
      </c>
      <c r="F12" s="481">
        <v>144.96322475111126</v>
      </c>
      <c r="G12" s="482">
        <v>611.39420520111128</v>
      </c>
      <c r="H12" s="263"/>
    </row>
    <row r="13" spans="1:9" ht="15" customHeight="1" thickBot="1">
      <c r="A13" s="263"/>
      <c r="B13" s="407" t="s">
        <v>11</v>
      </c>
      <c r="C13" s="480">
        <v>61.329238859999997</v>
      </c>
      <c r="D13" s="480">
        <v>4.5712694300000001</v>
      </c>
      <c r="E13" s="480">
        <v>15.2010136</v>
      </c>
      <c r="F13" s="480">
        <v>36.235126493666499</v>
      </c>
      <c r="G13" s="482">
        <v>117.33664838366649</v>
      </c>
      <c r="H13" s="263"/>
    </row>
    <row r="14" spans="1:9" ht="15" customHeight="1" thickBot="1">
      <c r="A14" s="263"/>
      <c r="B14" s="406" t="s">
        <v>14</v>
      </c>
      <c r="C14" s="481">
        <v>1383.2294322499999</v>
      </c>
      <c r="D14" s="481">
        <v>726.81618100000003</v>
      </c>
      <c r="E14" s="481">
        <v>347.89339899999999</v>
      </c>
      <c r="F14" s="481">
        <v>466.54169905476471</v>
      </c>
      <c r="G14" s="482">
        <v>2924.4807113047646</v>
      </c>
      <c r="H14" s="263"/>
    </row>
    <row r="15" spans="1:9" ht="15" customHeight="1" thickBot="1">
      <c r="A15" s="263"/>
      <c r="B15" s="407" t="s">
        <v>15</v>
      </c>
      <c r="C15" s="480">
        <v>349.21458334000005</v>
      </c>
      <c r="D15" s="480">
        <v>143.37081437999998</v>
      </c>
      <c r="E15" s="480">
        <v>139.48461649000001</v>
      </c>
      <c r="F15" s="480">
        <v>42.425482676236243</v>
      </c>
      <c r="G15" s="482">
        <v>674.49549688623631</v>
      </c>
      <c r="H15" s="263"/>
    </row>
    <row r="16" spans="1:9" ht="15" customHeight="1" thickBot="1">
      <c r="A16" s="263"/>
      <c r="B16" s="406" t="s">
        <v>16</v>
      </c>
      <c r="C16" s="481">
        <v>401.54784372</v>
      </c>
      <c r="D16" s="481">
        <v>279.31271920937496</v>
      </c>
      <c r="E16" s="481">
        <v>92.333502670000001</v>
      </c>
      <c r="F16" s="481">
        <v>192.86252650585402</v>
      </c>
      <c r="G16" s="482">
        <v>966.05659210522902</v>
      </c>
      <c r="H16" s="263"/>
    </row>
    <row r="17" spans="1:8" ht="15" customHeight="1" thickBot="1">
      <c r="A17" s="263"/>
      <c r="B17" s="407" t="s">
        <v>17</v>
      </c>
      <c r="C17" s="480">
        <v>805.69620731999998</v>
      </c>
      <c r="D17" s="480">
        <v>245.74809270999992</v>
      </c>
      <c r="E17" s="480">
        <v>151.45802548000003</v>
      </c>
      <c r="F17" s="480">
        <v>60.985559534471946</v>
      </c>
      <c r="G17" s="482">
        <v>1263.8878850444719</v>
      </c>
      <c r="H17" s="263"/>
    </row>
    <row r="18" spans="1:8" ht="15" customHeight="1" thickBot="1">
      <c r="A18" s="263"/>
      <c r="B18" s="406" t="s">
        <v>18</v>
      </c>
      <c r="C18" s="481">
        <v>276.96565346</v>
      </c>
      <c r="D18" s="481">
        <v>186.58356374849998</v>
      </c>
      <c r="E18" s="481">
        <v>59.141710750499996</v>
      </c>
      <c r="F18" s="481">
        <v>103.9629201854587</v>
      </c>
      <c r="G18" s="482">
        <v>626.65384814445861</v>
      </c>
      <c r="H18" s="263"/>
    </row>
    <row r="19" spans="1:8" ht="15" customHeight="1" thickBot="1">
      <c r="A19" s="263"/>
      <c r="B19" s="407" t="s">
        <v>19</v>
      </c>
      <c r="C19" s="480">
        <v>472.18446287</v>
      </c>
      <c r="D19" s="480">
        <v>361.89918582999996</v>
      </c>
      <c r="E19" s="480">
        <v>145.48315436999999</v>
      </c>
      <c r="F19" s="480">
        <v>346.69613757856803</v>
      </c>
      <c r="G19" s="482">
        <v>1326.262940648568</v>
      </c>
      <c r="H19" s="263"/>
    </row>
    <row r="20" spans="1:8" ht="15" customHeight="1" thickBot="1">
      <c r="A20" s="263"/>
      <c r="B20" s="406" t="s">
        <v>20</v>
      </c>
      <c r="C20" s="481">
        <v>841.19169054000008</v>
      </c>
      <c r="D20" s="481">
        <v>476.65689401999998</v>
      </c>
      <c r="E20" s="481">
        <v>320.35604895</v>
      </c>
      <c r="F20" s="481">
        <v>462.55703729779719</v>
      </c>
      <c r="G20" s="482">
        <v>2100.7616708077971</v>
      </c>
      <c r="H20" s="263"/>
    </row>
    <row r="21" spans="1:8" ht="15" customHeight="1" thickBot="1">
      <c r="A21" s="263"/>
      <c r="B21" s="407" t="s">
        <v>224</v>
      </c>
      <c r="C21" s="480">
        <v>447.61934675999998</v>
      </c>
      <c r="D21" s="480">
        <v>150.62308281</v>
      </c>
      <c r="E21" s="480">
        <v>197.79030324999999</v>
      </c>
      <c r="F21" s="480">
        <v>107.60954073098335</v>
      </c>
      <c r="G21" s="482">
        <v>903.6422735509833</v>
      </c>
      <c r="H21" s="263"/>
    </row>
    <row r="22" spans="1:8" ht="15" customHeight="1" thickBot="1">
      <c r="A22" s="263"/>
      <c r="B22" s="406" t="s">
        <v>22</v>
      </c>
      <c r="C22" s="481">
        <v>293.24514539</v>
      </c>
      <c r="D22" s="481">
        <v>227.56592221</v>
      </c>
      <c r="E22" s="481">
        <v>38.141246459999998</v>
      </c>
      <c r="F22" s="481">
        <v>106.44317589686</v>
      </c>
      <c r="G22" s="482">
        <v>665.39548995686005</v>
      </c>
      <c r="H22" s="263"/>
    </row>
    <row r="23" spans="1:8" ht="15" customHeight="1" thickBot="1">
      <c r="A23" s="263"/>
      <c r="B23" s="407" t="s">
        <v>23</v>
      </c>
      <c r="C23" s="480">
        <v>161.25254172999999</v>
      </c>
      <c r="D23" s="480">
        <v>117.68897392999999</v>
      </c>
      <c r="E23" s="480">
        <v>30.503247000000002</v>
      </c>
      <c r="F23" s="480">
        <v>43.988750185754093</v>
      </c>
      <c r="G23" s="482">
        <v>353.43351284575408</v>
      </c>
      <c r="H23" s="263"/>
    </row>
    <row r="24" spans="1:8" ht="15" customHeight="1" thickBot="1">
      <c r="A24" s="263"/>
      <c r="B24" s="406" t="s">
        <v>24</v>
      </c>
      <c r="C24" s="481">
        <v>469.50654443000002</v>
      </c>
      <c r="D24" s="481">
        <v>332.2333241165</v>
      </c>
      <c r="E24" s="481">
        <v>182.15619000000001</v>
      </c>
      <c r="F24" s="481">
        <v>405.73718889894195</v>
      </c>
      <c r="G24" s="482">
        <v>1389.6332474454421</v>
      </c>
      <c r="H24" s="263"/>
    </row>
    <row r="25" spans="1:8" ht="15" customHeight="1" thickBot="1">
      <c r="A25" s="263"/>
      <c r="B25" s="407" t="s">
        <v>25</v>
      </c>
      <c r="C25" s="480">
        <v>472.28913566999995</v>
      </c>
      <c r="D25" s="480">
        <v>75.545009289999996</v>
      </c>
      <c r="E25" s="480">
        <v>162.79283458999998</v>
      </c>
      <c r="F25" s="480">
        <v>36.494250429955365</v>
      </c>
      <c r="G25" s="482">
        <v>747.12122997995539</v>
      </c>
      <c r="H25" s="263"/>
    </row>
    <row r="26" spans="1:8" ht="15" customHeight="1" thickBot="1">
      <c r="A26" s="263"/>
      <c r="B26" s="406" t="s">
        <v>36</v>
      </c>
      <c r="C26" s="481">
        <v>384.03290353049999</v>
      </c>
      <c r="D26" s="481">
        <v>50.394698329999997</v>
      </c>
      <c r="E26" s="481">
        <v>205.73874189000003</v>
      </c>
      <c r="F26" s="481">
        <v>127.42546329828323</v>
      </c>
      <c r="G26" s="482">
        <v>767.59180704878327</v>
      </c>
      <c r="H26" s="263"/>
    </row>
    <row r="27" spans="1:8" ht="15" customHeight="1" thickBot="1">
      <c r="A27" s="263"/>
      <c r="B27" s="407" t="s">
        <v>225</v>
      </c>
      <c r="C27" s="480">
        <v>531.05545953000001</v>
      </c>
      <c r="D27" s="480">
        <v>26.939509999999999</v>
      </c>
      <c r="E27" s="480">
        <v>37.63262855</v>
      </c>
      <c r="F27" s="480">
        <v>1285.797841090008</v>
      </c>
      <c r="G27" s="482">
        <v>1881.4254391700081</v>
      </c>
      <c r="H27" s="263"/>
    </row>
    <row r="28" spans="1:8" ht="15" customHeight="1" thickBot="1">
      <c r="A28" s="263"/>
      <c r="B28" s="406" t="s">
        <v>27</v>
      </c>
      <c r="C28" s="481">
        <v>137.08093131999999</v>
      </c>
      <c r="D28" s="481">
        <v>137.72836053</v>
      </c>
      <c r="E28" s="481">
        <v>12.014693599999999</v>
      </c>
      <c r="F28" s="481">
        <v>126.99196704395585</v>
      </c>
      <c r="G28" s="482">
        <v>413.81595249395588</v>
      </c>
      <c r="H28" s="263"/>
    </row>
    <row r="29" spans="1:8" ht="15" customHeight="1" thickBot="1">
      <c r="A29" s="263"/>
      <c r="B29" s="407" t="s">
        <v>28</v>
      </c>
      <c r="C29" s="480">
        <v>264.19482174000001</v>
      </c>
      <c r="D29" s="480">
        <v>57.478592380000009</v>
      </c>
      <c r="E29" s="480">
        <v>109.6657268575</v>
      </c>
      <c r="F29" s="480">
        <v>110.02076480701548</v>
      </c>
      <c r="G29" s="482">
        <v>541.35990578451549</v>
      </c>
      <c r="H29" s="263"/>
    </row>
    <row r="30" spans="1:8" ht="15" customHeight="1" thickBot="1">
      <c r="A30" s="263"/>
      <c r="B30" s="406" t="s">
        <v>29</v>
      </c>
      <c r="C30" s="481">
        <v>281.65570247000005</v>
      </c>
      <c r="D30" s="481">
        <v>176.28020503649998</v>
      </c>
      <c r="E30" s="481">
        <v>113.49215364</v>
      </c>
      <c r="F30" s="481">
        <v>113.8920545206779</v>
      </c>
      <c r="G30" s="482">
        <v>685.3201156671779</v>
      </c>
      <c r="H30" s="263"/>
    </row>
    <row r="31" spans="1:8" ht="15" customHeight="1" thickBot="1">
      <c r="A31" s="263"/>
      <c r="B31" s="407" t="s">
        <v>37</v>
      </c>
      <c r="C31" s="480">
        <v>226.76343302999999</v>
      </c>
      <c r="D31" s="480">
        <v>59.117544000000002</v>
      </c>
      <c r="E31" s="480">
        <v>134.129896</v>
      </c>
      <c r="F31" s="480">
        <v>165.89134054088757</v>
      </c>
      <c r="G31" s="482">
        <v>585.90221357088751</v>
      </c>
      <c r="H31" s="263"/>
    </row>
    <row r="32" spans="1:8" ht="15" customHeight="1" thickBot="1">
      <c r="A32" s="263"/>
      <c r="B32" s="406" t="s">
        <v>30</v>
      </c>
      <c r="C32" s="481">
        <v>263.10912603000003</v>
      </c>
      <c r="D32" s="481">
        <v>119.72259792714701</v>
      </c>
      <c r="E32" s="481">
        <v>99.541539499999999</v>
      </c>
      <c r="F32" s="481">
        <v>45.833621967221362</v>
      </c>
      <c r="G32" s="482">
        <v>528.20688542436835</v>
      </c>
      <c r="H32" s="263"/>
    </row>
    <row r="33" spans="1:8" ht="15" customHeight="1" thickBot="1">
      <c r="A33" s="263"/>
      <c r="B33" s="407" t="s">
        <v>31</v>
      </c>
      <c r="C33" s="480">
        <v>292.06864970999999</v>
      </c>
      <c r="D33" s="480">
        <v>230.11843490000001</v>
      </c>
      <c r="E33" s="480">
        <v>83.010559180000001</v>
      </c>
      <c r="F33" s="480">
        <v>179.79140877535747</v>
      </c>
      <c r="G33" s="482">
        <v>784.9890525653575</v>
      </c>
      <c r="H33" s="263"/>
    </row>
    <row r="34" spans="1:8" ht="15" customHeight="1" thickBot="1">
      <c r="A34" s="263"/>
      <c r="B34" s="406" t="s">
        <v>32</v>
      </c>
      <c r="C34" s="481">
        <v>76.771780870000001</v>
      </c>
      <c r="D34" s="481">
        <v>38.003161820000003</v>
      </c>
      <c r="E34" s="481">
        <v>28.110202469999997</v>
      </c>
      <c r="F34" s="481">
        <v>17.562120363039078</v>
      </c>
      <c r="G34" s="482">
        <v>160.44726552303908</v>
      </c>
      <c r="H34" s="263"/>
    </row>
    <row r="35" spans="1:8" ht="15" customHeight="1" thickBot="1">
      <c r="A35" s="263"/>
      <c r="B35" s="407" t="s">
        <v>262</v>
      </c>
      <c r="C35" s="480">
        <v>711.67868051999994</v>
      </c>
      <c r="D35" s="480">
        <v>247.18143499991501</v>
      </c>
      <c r="E35" s="480">
        <v>229.46173316500003</v>
      </c>
      <c r="F35" s="480">
        <v>170.61669718380796</v>
      </c>
      <c r="G35" s="482">
        <v>1358.9385458687229</v>
      </c>
      <c r="H35" s="263"/>
    </row>
    <row r="36" spans="1:8" ht="15" customHeight="1" thickBot="1">
      <c r="A36" s="263"/>
      <c r="B36" s="406" t="s">
        <v>34</v>
      </c>
      <c r="C36" s="481">
        <v>170.98758039999998</v>
      </c>
      <c r="D36" s="481">
        <v>60.202024819999991</v>
      </c>
      <c r="E36" s="481">
        <v>42.615357039999999</v>
      </c>
      <c r="F36" s="481">
        <v>88.703589310289274</v>
      </c>
      <c r="G36" s="482">
        <v>362.50855157028923</v>
      </c>
      <c r="H36" s="263"/>
    </row>
    <row r="37" spans="1:8" ht="15" customHeight="1" thickBot="1">
      <c r="A37" s="263"/>
      <c r="B37" s="407" t="s">
        <v>35</v>
      </c>
      <c r="C37" s="480">
        <v>287.34760311000002</v>
      </c>
      <c r="D37" s="480">
        <v>204.90543722000004</v>
      </c>
      <c r="E37" s="480">
        <v>55.369584229999994</v>
      </c>
      <c r="F37" s="480">
        <v>22.725733012511473</v>
      </c>
      <c r="G37" s="482">
        <v>570.34835757251153</v>
      </c>
      <c r="H37" s="263"/>
    </row>
    <row r="38" spans="1:8" ht="15" customHeight="1" thickBot="1">
      <c r="A38" s="263"/>
      <c r="B38" s="407" t="s">
        <v>625</v>
      </c>
      <c r="C38" s="480">
        <v>2540.1065349999999</v>
      </c>
      <c r="D38" s="480">
        <v>0</v>
      </c>
      <c r="E38" s="480">
        <v>0</v>
      </c>
      <c r="F38" s="480">
        <v>18.472746000000001</v>
      </c>
      <c r="G38" s="482">
        <v>2558.5792809999998</v>
      </c>
      <c r="H38" s="263"/>
    </row>
    <row r="39" spans="1:8" ht="15" customHeight="1" thickBot="1">
      <c r="A39" s="263"/>
      <c r="B39" s="406" t="s">
        <v>96</v>
      </c>
      <c r="C39" s="481">
        <v>0.54725731000000011</v>
      </c>
      <c r="D39" s="481">
        <v>0</v>
      </c>
      <c r="E39" s="481">
        <v>0</v>
      </c>
      <c r="F39" s="481">
        <v>96.970843916082373</v>
      </c>
      <c r="G39" s="482">
        <v>97.518101226082379</v>
      </c>
      <c r="H39" s="263"/>
    </row>
    <row r="40" spans="1:8" ht="18" customHeight="1" thickBot="1">
      <c r="A40" s="263"/>
      <c r="B40" s="408" t="s">
        <v>54</v>
      </c>
      <c r="C40" s="483">
        <v>14815.279643045998</v>
      </c>
      <c r="D40" s="483">
        <v>5596.2922273299364</v>
      </c>
      <c r="E40" s="483">
        <v>3642.5786518455002</v>
      </c>
      <c r="F40" s="483">
        <v>6192.8062995294667</v>
      </c>
      <c r="G40" s="482">
        <v>30246.956821750904</v>
      </c>
      <c r="H40" s="263"/>
    </row>
    <row r="41" spans="1:8" ht="18" customHeight="1">
      <c r="A41" s="263"/>
      <c r="B41" s="1119" t="s">
        <v>626</v>
      </c>
      <c r="C41" s="1120"/>
      <c r="D41" s="1120"/>
      <c r="E41" s="1120"/>
      <c r="F41" s="1120"/>
      <c r="G41" s="1120"/>
      <c r="H41" s="263"/>
    </row>
    <row r="42" spans="1:8" ht="19.5" customHeight="1">
      <c r="A42" s="263"/>
      <c r="B42" s="1114" t="s">
        <v>627</v>
      </c>
      <c r="C42" s="1114"/>
      <c r="D42" s="1114"/>
      <c r="E42" s="1114"/>
      <c r="F42" s="1114"/>
      <c r="G42" s="1114"/>
      <c r="H42" s="263"/>
    </row>
    <row r="43" spans="1:8" ht="12" customHeight="1">
      <c r="A43" s="263"/>
      <c r="B43" s="1113" t="s">
        <v>277</v>
      </c>
      <c r="C43" s="1113"/>
      <c r="D43" s="1113"/>
      <c r="E43" s="1113"/>
      <c r="F43" s="1113"/>
      <c r="G43" s="1113"/>
      <c r="H43" s="263"/>
    </row>
    <row r="44" spans="1:8" ht="6" customHeight="1">
      <c r="A44" s="263"/>
      <c r="B44" s="263"/>
      <c r="C44" s="263"/>
      <c r="D44" s="263"/>
      <c r="E44" s="263"/>
      <c r="F44" s="263"/>
      <c r="G44" s="263"/>
      <c r="H44" s="263"/>
    </row>
    <row r="45" spans="1:8">
      <c r="C45" s="21"/>
      <c r="D45" s="21"/>
      <c r="E45" s="21"/>
      <c r="F45" s="21"/>
    </row>
    <row r="46" spans="1:8">
      <c r="B46" s="242"/>
    </row>
    <row r="49" spans="3:6" ht="15" customHeight="1"/>
    <row r="51" spans="3:6" ht="12" customHeight="1"/>
    <row r="53" spans="3:6">
      <c r="C53" s="3"/>
      <c r="D53" s="3"/>
      <c r="E53" s="3"/>
      <c r="F53" s="3"/>
    </row>
    <row r="54" spans="3:6">
      <c r="C54" s="21"/>
      <c r="D54" s="21"/>
      <c r="E54" s="21"/>
      <c r="F54" s="21"/>
    </row>
  </sheetData>
  <sheetProtection password="CF4C" sheet="1" objects="1" scenarios="1"/>
  <customSheetViews>
    <customSheetView guid="{E9B43C8C-734F-433D-AD37-344F9303B5CC}" showPageBreaks="1" showGridLines="0" showRuler="0" topLeftCell="A37">
      <pane ySplit="18" topLeftCell="A40"/>
      <selection activeCell="E51" sqref="E51"/>
      <pageMargins left="0.39370078740157483" right="0.39370078740157483" top="0.59055118110236227" bottom="0.59055118110236227" header="0.39370078740157483" footer="0.39370078740157483"/>
      <printOptions horizontalCentered="1"/>
      <pageSetup orientation="portrait" r:id="rId1"/>
      <headerFooter alignWithMargins="0"/>
    </customSheetView>
    <customSheetView guid="{9BF398E0-33D8-4E64-94A2-9B7C822C8383}" showPageBreaks="1" showGridLines="0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2"/>
      <headerFooter alignWithMargins="0"/>
    </customSheetView>
    <customSheetView guid="{6DCFE324-2DF9-4BB0-88BD-A4AD316C7A9E}" showGridLines="0" showRuler="0"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3"/>
      <headerFooter alignWithMargins="0"/>
    </customSheetView>
    <customSheetView guid="{48A744A8-8180-4A3B-8108-49EF41816969}" showGridLines="0" showRuler="0" topLeftCell="A40">
      <pane ySplit="13.352941176470589" topLeftCell="A40"/>
      <selection activeCell="B49" sqref="B49"/>
      <pageMargins left="0.19685039370078741" right="0.19685039370078741" top="0.59055118110236227" bottom="0.59055118110236227" header="0.39370078740157483" footer="0.39370078740157483"/>
      <printOptions horizontalCentered="1"/>
      <pageSetup orientation="portrait" r:id="rId4"/>
      <headerFooter alignWithMargins="0"/>
    </customSheetView>
    <customSheetView guid="{9E220BD5-A526-40BD-8239-3A0461590922}" showGridLines="0" showRuler="0" topLeftCell="A37">
      <pane ySplit="17.529411764705884" topLeftCell="A40" activePane="bottomLeft"/>
      <selection pane="bottomLeft" activeCell="F51" sqref="F51"/>
      <pageMargins left="0.39370078740157483" right="0.39370078740157483" top="0.59055118110236227" bottom="0.59055118110236227" header="0.39370078740157483" footer="0.39370078740157483"/>
      <printOptions horizontalCentered="1"/>
      <pageSetup orientation="portrait" r:id="rId5"/>
      <headerFooter alignWithMargins="0"/>
    </customSheetView>
  </customSheetViews>
  <mergeCells count="7">
    <mergeCell ref="B43:G43"/>
    <mergeCell ref="B2:G2"/>
    <mergeCell ref="B42:G42"/>
    <mergeCell ref="B4:B5"/>
    <mergeCell ref="G4:G5"/>
    <mergeCell ref="B41:G41"/>
    <mergeCell ref="C4:F4"/>
  </mergeCells>
  <phoneticPr fontId="9" type="noConversion"/>
  <printOptions horizontalCentered="1"/>
  <pageMargins left="0.39370078740157483" right="0.39370078740157483" top="0.59055118110236227" bottom="0.59055118110236227" header="0.39370078740157483" footer="0.39370078740157483"/>
  <pageSetup scale="96" orientation="portrait" r:id="rId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" enableFormatConditionsCalculation="0">
    <tabColor theme="9" tint="-0.249977111117893"/>
    <pageSetUpPr fitToPage="1"/>
  </sheetPr>
  <dimension ref="A1:I53"/>
  <sheetViews>
    <sheetView showGridLines="0" zoomScale="75" zoomScaleNormal="75" workbookViewId="0">
      <selection activeCell="C46" sqref="C46:K54"/>
    </sheetView>
  </sheetViews>
  <sheetFormatPr baseColWidth="10" defaultRowHeight="12.75"/>
  <cols>
    <col min="1" max="1" width="1.7109375" customWidth="1"/>
    <col min="2" max="2" width="22.140625" customWidth="1"/>
    <col min="3" max="4" width="15.28515625" customWidth="1"/>
    <col min="5" max="5" width="14.85546875" customWidth="1"/>
    <col min="6" max="6" width="16.42578125" customWidth="1"/>
    <col min="7" max="7" width="13.5703125" bestFit="1" customWidth="1"/>
    <col min="8" max="8" width="16.140625" customWidth="1"/>
  </cols>
  <sheetData>
    <row r="1" spans="1:8" s="46" customFormat="1" ht="12" customHeight="1">
      <c r="A1" s="261"/>
      <c r="B1" s="259"/>
      <c r="C1" s="260"/>
      <c r="D1" s="260"/>
      <c r="E1" s="260"/>
      <c r="F1" s="260"/>
      <c r="G1" s="260"/>
      <c r="H1" s="260"/>
    </row>
    <row r="2" spans="1:8" ht="15" customHeight="1">
      <c r="A2" s="263"/>
      <c r="B2" s="1098" t="s">
        <v>519</v>
      </c>
      <c r="C2" s="1098"/>
      <c r="D2" s="1098"/>
      <c r="E2" s="1098"/>
      <c r="F2" s="1098"/>
      <c r="G2" s="1098"/>
      <c r="H2" s="403"/>
    </row>
    <row r="3" spans="1:8" ht="15" customHeight="1" thickBot="1">
      <c r="A3" s="263"/>
      <c r="B3" s="412" t="s">
        <v>112</v>
      </c>
      <c r="C3" s="394"/>
      <c r="D3" s="394"/>
      <c r="E3" s="394"/>
      <c r="F3" s="394"/>
      <c r="G3" s="394"/>
      <c r="H3" s="393"/>
    </row>
    <row r="4" spans="1:8" s="5" customFormat="1" ht="15" customHeight="1" thickBot="1">
      <c r="A4" s="264"/>
      <c r="B4" s="1124" t="s">
        <v>230</v>
      </c>
      <c r="C4" s="446" t="s">
        <v>291</v>
      </c>
      <c r="D4" s="446"/>
      <c r="E4" s="446"/>
      <c r="F4" s="446"/>
      <c r="G4" s="446"/>
      <c r="H4" s="1117" t="s">
        <v>255</v>
      </c>
    </row>
    <row r="5" spans="1:8" s="5" customFormat="1" ht="33.75" customHeight="1" thickBot="1">
      <c r="A5" s="264"/>
      <c r="B5" s="1124"/>
      <c r="C5" s="441" t="s">
        <v>289</v>
      </c>
      <c r="D5" s="441" t="s">
        <v>290</v>
      </c>
      <c r="E5" s="441" t="s">
        <v>292</v>
      </c>
      <c r="F5" s="441" t="s">
        <v>293</v>
      </c>
      <c r="G5" s="992" t="s">
        <v>601</v>
      </c>
      <c r="H5" s="1125"/>
    </row>
    <row r="6" spans="1:8" s="5" customFormat="1" ht="15" customHeight="1" thickBot="1">
      <c r="A6" s="264"/>
      <c r="B6" s="442" t="s">
        <v>6</v>
      </c>
      <c r="C6" s="481">
        <v>87.945317148725493</v>
      </c>
      <c r="D6" s="481">
        <v>105.20594412177471</v>
      </c>
      <c r="E6" s="481">
        <v>0.29780561999999999</v>
      </c>
      <c r="F6" s="481">
        <v>61.474712300641869</v>
      </c>
      <c r="G6" s="484">
        <v>73.91941602</v>
      </c>
      <c r="H6" s="482">
        <v>328.84319521114207</v>
      </c>
    </row>
    <row r="7" spans="1:8" s="5" customFormat="1" ht="15" customHeight="1" thickBot="1">
      <c r="A7" s="264"/>
      <c r="B7" s="443" t="s">
        <v>7</v>
      </c>
      <c r="C7" s="480">
        <v>263.72467177971555</v>
      </c>
      <c r="D7" s="480">
        <v>435.71413154538828</v>
      </c>
      <c r="E7" s="480">
        <v>88.889378145545223</v>
      </c>
      <c r="F7" s="480">
        <v>40.984442144563104</v>
      </c>
      <c r="G7" s="485">
        <v>10.519895999999999</v>
      </c>
      <c r="H7" s="482">
        <v>839.83251961521228</v>
      </c>
    </row>
    <row r="8" spans="1:8" s="5" customFormat="1" ht="15" customHeight="1" thickBot="1">
      <c r="A8" s="264"/>
      <c r="B8" s="442" t="s">
        <v>8</v>
      </c>
      <c r="C8" s="481">
        <v>89.571318689801032</v>
      </c>
      <c r="D8" s="481">
        <v>121.2834170015777</v>
      </c>
      <c r="E8" s="481">
        <v>72.048434</v>
      </c>
      <c r="F8" s="481">
        <v>97.386012292160714</v>
      </c>
      <c r="G8" s="484">
        <v>0</v>
      </c>
      <c r="H8" s="482">
        <v>380.28918198353944</v>
      </c>
    </row>
    <row r="9" spans="1:8" s="5" customFormat="1" ht="15" customHeight="1" thickBot="1">
      <c r="A9" s="264"/>
      <c r="B9" s="443" t="s">
        <v>9</v>
      </c>
      <c r="C9" s="480">
        <v>326.95194166962335</v>
      </c>
      <c r="D9" s="480">
        <v>35.594088478717062</v>
      </c>
      <c r="E9" s="480">
        <v>0</v>
      </c>
      <c r="F9" s="480">
        <v>41.712656378031653</v>
      </c>
      <c r="G9" s="485">
        <v>4.6029419999999996</v>
      </c>
      <c r="H9" s="482">
        <v>408.8616285263721</v>
      </c>
    </row>
    <row r="10" spans="1:8" s="5" customFormat="1" ht="15" customHeight="1" thickBot="1">
      <c r="A10" s="264"/>
      <c r="B10" s="442" t="s">
        <v>12</v>
      </c>
      <c r="C10" s="481">
        <v>583.01325587945314</v>
      </c>
      <c r="D10" s="481">
        <v>304.99786067942421</v>
      </c>
      <c r="E10" s="481">
        <v>2.7443695899999998</v>
      </c>
      <c r="F10" s="481">
        <v>46.702781021852559</v>
      </c>
      <c r="G10" s="484">
        <v>53.074053519999993</v>
      </c>
      <c r="H10" s="482">
        <v>990.53232069072988</v>
      </c>
    </row>
    <row r="11" spans="1:8" s="5" customFormat="1" ht="15" customHeight="1" thickBot="1">
      <c r="A11" s="264"/>
      <c r="B11" s="443" t="s">
        <v>13</v>
      </c>
      <c r="C11" s="480">
        <v>434.30349278616399</v>
      </c>
      <c r="D11" s="480">
        <v>280.82817343608599</v>
      </c>
      <c r="E11" s="480">
        <v>379.86406419200313</v>
      </c>
      <c r="F11" s="480">
        <v>219.59501851865784</v>
      </c>
      <c r="G11" s="485">
        <v>16.5</v>
      </c>
      <c r="H11" s="482">
        <v>1331.0907489329099</v>
      </c>
    </row>
    <row r="12" spans="1:8" s="5" customFormat="1" ht="15" customHeight="1" thickBot="1">
      <c r="A12" s="264"/>
      <c r="B12" s="442" t="s">
        <v>223</v>
      </c>
      <c r="C12" s="481">
        <v>197.73861950463828</v>
      </c>
      <c r="D12" s="481">
        <v>219.62984146248084</v>
      </c>
      <c r="E12" s="481">
        <v>12.521331131138274</v>
      </c>
      <c r="F12" s="481">
        <v>69.109908102853865</v>
      </c>
      <c r="G12" s="484">
        <v>112.394505</v>
      </c>
      <c r="H12" s="482">
        <v>611.39420520111128</v>
      </c>
    </row>
    <row r="13" spans="1:8" s="5" customFormat="1" ht="15" customHeight="1" thickBot="1">
      <c r="A13" s="264"/>
      <c r="B13" s="443" t="s">
        <v>11</v>
      </c>
      <c r="C13" s="480">
        <v>25.825497825929876</v>
      </c>
      <c r="D13" s="480">
        <v>44.467873300129526</v>
      </c>
      <c r="E13" s="480">
        <v>0.51514693</v>
      </c>
      <c r="F13" s="480">
        <v>44.555383327607096</v>
      </c>
      <c r="G13" s="485">
        <v>1.972747</v>
      </c>
      <c r="H13" s="482">
        <v>117.3366483836665</v>
      </c>
    </row>
    <row r="14" spans="1:8" s="5" customFormat="1" ht="15" customHeight="1" thickBot="1">
      <c r="A14" s="264"/>
      <c r="B14" s="442" t="s">
        <v>14</v>
      </c>
      <c r="C14" s="481">
        <v>361.94654312943817</v>
      </c>
      <c r="D14" s="481">
        <v>565.61487076889841</v>
      </c>
      <c r="E14" s="481">
        <v>49.049875</v>
      </c>
      <c r="F14" s="481">
        <v>1828.5962214064284</v>
      </c>
      <c r="G14" s="484">
        <v>119.273201</v>
      </c>
      <c r="H14" s="482">
        <v>2924.480711304765</v>
      </c>
    </row>
    <row r="15" spans="1:8" s="5" customFormat="1" ht="15" customHeight="1" thickBot="1">
      <c r="A15" s="264"/>
      <c r="B15" s="443" t="s">
        <v>15</v>
      </c>
      <c r="C15" s="480">
        <v>203.95800970847233</v>
      </c>
      <c r="D15" s="480">
        <v>247.28217341620811</v>
      </c>
      <c r="E15" s="480">
        <v>34.394905639999998</v>
      </c>
      <c r="F15" s="480">
        <v>121.27526612155582</v>
      </c>
      <c r="G15" s="485">
        <v>67.585142000000005</v>
      </c>
      <c r="H15" s="482">
        <v>674.49549688623631</v>
      </c>
    </row>
    <row r="16" spans="1:8" s="5" customFormat="1" ht="15" customHeight="1" thickBot="1">
      <c r="A16" s="264"/>
      <c r="B16" s="442" t="s">
        <v>16</v>
      </c>
      <c r="C16" s="481">
        <v>279.45718669415515</v>
      </c>
      <c r="D16" s="481">
        <v>195.02650388808806</v>
      </c>
      <c r="E16" s="481">
        <v>115.93805893357803</v>
      </c>
      <c r="F16" s="481">
        <v>295.15098925940782</v>
      </c>
      <c r="G16" s="484">
        <v>80.483853330000002</v>
      </c>
      <c r="H16" s="482">
        <v>966.05659210522902</v>
      </c>
    </row>
    <row r="17" spans="1:8" s="5" customFormat="1" ht="15" customHeight="1" thickBot="1">
      <c r="A17" s="264"/>
      <c r="B17" s="443" t="s">
        <v>17</v>
      </c>
      <c r="C17" s="480">
        <v>428.85037947163676</v>
      </c>
      <c r="D17" s="480">
        <v>456.4718144881204</v>
      </c>
      <c r="E17" s="480">
        <v>156.78309261000001</v>
      </c>
      <c r="F17" s="480">
        <v>196.55482858471484</v>
      </c>
      <c r="G17" s="485">
        <v>25.227769890000001</v>
      </c>
      <c r="H17" s="482">
        <v>1263.8878850444721</v>
      </c>
    </row>
    <row r="18" spans="1:8" s="5" customFormat="1" ht="15" customHeight="1" thickBot="1">
      <c r="A18" s="264"/>
      <c r="B18" s="442" t="s">
        <v>18</v>
      </c>
      <c r="C18" s="481">
        <v>261.03986686269292</v>
      </c>
      <c r="D18" s="481">
        <v>202.74231874017536</v>
      </c>
      <c r="E18" s="481">
        <v>67.128502157096634</v>
      </c>
      <c r="F18" s="481">
        <v>42.605639944493781</v>
      </c>
      <c r="G18" s="484">
        <v>53.137520439999996</v>
      </c>
      <c r="H18" s="482">
        <v>626.65384814445861</v>
      </c>
    </row>
    <row r="19" spans="1:8" s="5" customFormat="1" ht="15" customHeight="1" thickBot="1">
      <c r="A19" s="264"/>
      <c r="B19" s="443" t="s">
        <v>19</v>
      </c>
      <c r="C19" s="480">
        <v>374.26950275501343</v>
      </c>
      <c r="D19" s="480">
        <v>484.11086048723365</v>
      </c>
      <c r="E19" s="480">
        <v>114.80728271672596</v>
      </c>
      <c r="F19" s="480">
        <v>272.81853168959498</v>
      </c>
      <c r="G19" s="485">
        <v>80.256763000000007</v>
      </c>
      <c r="H19" s="482">
        <v>1326.262940648568</v>
      </c>
    </row>
    <row r="20" spans="1:8" s="5" customFormat="1" ht="15" customHeight="1" thickBot="1">
      <c r="A20" s="264"/>
      <c r="B20" s="442" t="s">
        <v>20</v>
      </c>
      <c r="C20" s="481">
        <v>594.5474998466442</v>
      </c>
      <c r="D20" s="481">
        <v>639.30431804490206</v>
      </c>
      <c r="E20" s="481">
        <v>216.60948434709366</v>
      </c>
      <c r="F20" s="481">
        <v>371.66226944915803</v>
      </c>
      <c r="G20" s="484">
        <v>278.63809911999999</v>
      </c>
      <c r="H20" s="482">
        <v>2100.7616708077981</v>
      </c>
    </row>
    <row r="21" spans="1:8" s="5" customFormat="1" ht="15" customHeight="1" thickBot="1">
      <c r="A21" s="264"/>
      <c r="B21" s="443" t="s">
        <v>224</v>
      </c>
      <c r="C21" s="480">
        <v>260.64283929396748</v>
      </c>
      <c r="D21" s="480">
        <v>326.90664218809962</v>
      </c>
      <c r="E21" s="480">
        <v>3.7214339728231378</v>
      </c>
      <c r="F21" s="480">
        <v>249.55230009609315</v>
      </c>
      <c r="G21" s="485">
        <v>62.819057999999998</v>
      </c>
      <c r="H21" s="482">
        <v>903.64227355098342</v>
      </c>
    </row>
    <row r="22" spans="1:8" s="5" customFormat="1" ht="15" customHeight="1" thickBot="1">
      <c r="A22" s="264"/>
      <c r="B22" s="442" t="s">
        <v>22</v>
      </c>
      <c r="C22" s="481">
        <v>178.12940421869163</v>
      </c>
      <c r="D22" s="481">
        <v>247.55160962980258</v>
      </c>
      <c r="E22" s="481">
        <v>122.81525259578331</v>
      </c>
      <c r="F22" s="481">
        <v>85.588278512582434</v>
      </c>
      <c r="G22" s="484">
        <v>31.310945</v>
      </c>
      <c r="H22" s="482">
        <v>665.39548995685993</v>
      </c>
    </row>
    <row r="23" spans="1:8" s="5" customFormat="1" ht="15" customHeight="1" thickBot="1">
      <c r="A23" s="264"/>
      <c r="B23" s="443" t="s">
        <v>23</v>
      </c>
      <c r="C23" s="480">
        <v>127.4854499915642</v>
      </c>
      <c r="D23" s="480">
        <v>88.193365274189887</v>
      </c>
      <c r="E23" s="480">
        <v>5.6089054999999997</v>
      </c>
      <c r="F23" s="480">
        <v>109.631647</v>
      </c>
      <c r="G23" s="485">
        <v>22.514145079999999</v>
      </c>
      <c r="H23" s="482">
        <v>353.43351284575408</v>
      </c>
    </row>
    <row r="24" spans="1:8" s="5" customFormat="1" ht="15" customHeight="1" thickBot="1">
      <c r="A24" s="264"/>
      <c r="B24" s="442" t="s">
        <v>24</v>
      </c>
      <c r="C24" s="481">
        <v>652.76261018884918</v>
      </c>
      <c r="D24" s="481">
        <v>400.63428781684047</v>
      </c>
      <c r="E24" s="481">
        <v>0</v>
      </c>
      <c r="F24" s="481">
        <v>176.92585461975233</v>
      </c>
      <c r="G24" s="484">
        <v>159.31049482</v>
      </c>
      <c r="H24" s="482">
        <v>1389.6332474454421</v>
      </c>
    </row>
    <row r="25" spans="1:8" s="5" customFormat="1" ht="15" customHeight="1" thickBot="1">
      <c r="A25" s="264"/>
      <c r="B25" s="443" t="s">
        <v>25</v>
      </c>
      <c r="C25" s="480">
        <v>389.69043994268486</v>
      </c>
      <c r="D25" s="480">
        <v>220.06459304229634</v>
      </c>
      <c r="E25" s="480">
        <v>40.305755093037</v>
      </c>
      <c r="F25" s="480">
        <v>21.716520681937087</v>
      </c>
      <c r="G25" s="485">
        <v>75.343921219999999</v>
      </c>
      <c r="H25" s="482">
        <v>747.12122997995527</v>
      </c>
    </row>
    <row r="26" spans="1:8" s="5" customFormat="1" ht="15" customHeight="1" thickBot="1">
      <c r="A26" s="264"/>
      <c r="B26" s="442" t="s">
        <v>36</v>
      </c>
      <c r="C26" s="481">
        <v>227.9192876841812</v>
      </c>
      <c r="D26" s="481">
        <v>301.96876663605036</v>
      </c>
      <c r="E26" s="481">
        <v>98.254494648932962</v>
      </c>
      <c r="F26" s="481">
        <v>132.3352561296187</v>
      </c>
      <c r="G26" s="484">
        <v>7.1140019500000005</v>
      </c>
      <c r="H26" s="482">
        <v>767.59180704878315</v>
      </c>
    </row>
    <row r="27" spans="1:8" s="5" customFormat="1" ht="15" customHeight="1" thickBot="1">
      <c r="A27" s="264"/>
      <c r="B27" s="443" t="s">
        <v>225</v>
      </c>
      <c r="C27" s="480">
        <v>1493.4013751530867</v>
      </c>
      <c r="D27" s="480">
        <v>74.272208165837881</v>
      </c>
      <c r="E27" s="480">
        <v>258.28218927262151</v>
      </c>
      <c r="F27" s="480">
        <v>45.443109478461956</v>
      </c>
      <c r="G27" s="485">
        <v>10.0265571</v>
      </c>
      <c r="H27" s="482">
        <v>1881.4254391700081</v>
      </c>
    </row>
    <row r="28" spans="1:8" s="5" customFormat="1" ht="15" customHeight="1" thickBot="1">
      <c r="A28" s="264"/>
      <c r="B28" s="442" t="s">
        <v>27</v>
      </c>
      <c r="C28" s="481">
        <v>156.25889698976491</v>
      </c>
      <c r="D28" s="481">
        <v>176.26062430081845</v>
      </c>
      <c r="E28" s="481">
        <v>26.663797859999999</v>
      </c>
      <c r="F28" s="481">
        <v>24.574169773372478</v>
      </c>
      <c r="G28" s="484">
        <v>30.058463570000001</v>
      </c>
      <c r="H28" s="482">
        <v>413.81595249395588</v>
      </c>
    </row>
    <row r="29" spans="1:8" s="5" customFormat="1" ht="15" customHeight="1" thickBot="1">
      <c r="A29" s="264"/>
      <c r="B29" s="443" t="s">
        <v>28</v>
      </c>
      <c r="C29" s="480">
        <v>192.99299563936941</v>
      </c>
      <c r="D29" s="480">
        <v>177.52847321450264</v>
      </c>
      <c r="E29" s="480">
        <v>64.913897239999997</v>
      </c>
      <c r="F29" s="480">
        <v>79.582740950643469</v>
      </c>
      <c r="G29" s="485">
        <v>26.341798739999998</v>
      </c>
      <c r="H29" s="482">
        <v>541.35990578451549</v>
      </c>
    </row>
    <row r="30" spans="1:8" s="5" customFormat="1" ht="15" customHeight="1" thickBot="1">
      <c r="A30" s="264"/>
      <c r="B30" s="442" t="s">
        <v>29</v>
      </c>
      <c r="C30" s="481">
        <v>129.51646942001099</v>
      </c>
      <c r="D30" s="481">
        <v>329.93230277306782</v>
      </c>
      <c r="E30" s="481">
        <v>74.263735999999994</v>
      </c>
      <c r="F30" s="481">
        <v>146.98184847409911</v>
      </c>
      <c r="G30" s="484">
        <v>4.6257590000000004</v>
      </c>
      <c r="H30" s="482">
        <v>685.3201156671779</v>
      </c>
    </row>
    <row r="31" spans="1:8" s="5" customFormat="1" ht="15" customHeight="1" thickBot="1">
      <c r="A31" s="264"/>
      <c r="B31" s="443" t="s">
        <v>37</v>
      </c>
      <c r="C31" s="480">
        <v>171.98499182367604</v>
      </c>
      <c r="D31" s="480">
        <v>258.41834824761077</v>
      </c>
      <c r="E31" s="480">
        <v>24.843018628516813</v>
      </c>
      <c r="F31" s="480">
        <v>119.70380787108397</v>
      </c>
      <c r="G31" s="485">
        <v>10.952047</v>
      </c>
      <c r="H31" s="482">
        <v>585.90221357088762</v>
      </c>
    </row>
    <row r="32" spans="1:8" s="5" customFormat="1" ht="15" customHeight="1" thickBot="1">
      <c r="A32" s="264"/>
      <c r="B32" s="442" t="s">
        <v>30</v>
      </c>
      <c r="C32" s="481">
        <v>257.53128736168219</v>
      </c>
      <c r="D32" s="481">
        <v>143.55053006268611</v>
      </c>
      <c r="E32" s="481">
        <v>0</v>
      </c>
      <c r="F32" s="481">
        <v>32.004122000000002</v>
      </c>
      <c r="G32" s="484">
        <v>95.120946000000004</v>
      </c>
      <c r="H32" s="482">
        <v>528.20688542436824</v>
      </c>
    </row>
    <row r="33" spans="1:9" s="5" customFormat="1" ht="15" customHeight="1" thickBot="1">
      <c r="A33" s="264"/>
      <c r="B33" s="443" t="s">
        <v>31</v>
      </c>
      <c r="C33" s="480">
        <v>256.69639817952697</v>
      </c>
      <c r="D33" s="480">
        <v>301.48323235699485</v>
      </c>
      <c r="E33" s="480">
        <v>80.846542123719956</v>
      </c>
      <c r="F33" s="480">
        <v>82.898447395115753</v>
      </c>
      <c r="G33" s="485">
        <v>63.064432510000003</v>
      </c>
      <c r="H33" s="482">
        <v>784.9890525653575</v>
      </c>
    </row>
    <row r="34" spans="1:9" s="5" customFormat="1" ht="15" customHeight="1" thickBot="1">
      <c r="A34" s="264"/>
      <c r="B34" s="442" t="s">
        <v>32</v>
      </c>
      <c r="C34" s="481">
        <v>33.358779504920953</v>
      </c>
      <c r="D34" s="481">
        <v>55.908813408814147</v>
      </c>
      <c r="E34" s="481">
        <v>37.101972476241968</v>
      </c>
      <c r="F34" s="481">
        <v>18.181530973062014</v>
      </c>
      <c r="G34" s="484">
        <v>15.896169159999999</v>
      </c>
      <c r="H34" s="482">
        <v>160.44726552303908</v>
      </c>
    </row>
    <row r="35" spans="1:9" s="5" customFormat="1" ht="15" customHeight="1" thickBot="1">
      <c r="A35" s="264"/>
      <c r="B35" s="443" t="s">
        <v>262</v>
      </c>
      <c r="C35" s="480">
        <v>606.73814369291961</v>
      </c>
      <c r="D35" s="480">
        <v>442.50223385346413</v>
      </c>
      <c r="E35" s="480">
        <v>84.833498210889545</v>
      </c>
      <c r="F35" s="480">
        <v>159.46590459144969</v>
      </c>
      <c r="G35" s="485">
        <v>65.398765519999998</v>
      </c>
      <c r="H35" s="482">
        <v>1358.9385458687232</v>
      </c>
    </row>
    <row r="36" spans="1:9" s="5" customFormat="1" ht="15" customHeight="1" thickBot="1">
      <c r="A36" s="264"/>
      <c r="B36" s="442" t="s">
        <v>34</v>
      </c>
      <c r="C36" s="481">
        <v>141.67330943401188</v>
      </c>
      <c r="D36" s="481">
        <v>100.05165956266876</v>
      </c>
      <c r="E36" s="481">
        <v>10.712889479999999</v>
      </c>
      <c r="F36" s="481">
        <v>105.01250041360862</v>
      </c>
      <c r="G36" s="484">
        <v>5.0581926799999994</v>
      </c>
      <c r="H36" s="482">
        <v>362.50855157028928</v>
      </c>
    </row>
    <row r="37" spans="1:9" s="5" customFormat="1" ht="15" customHeight="1" thickBot="1">
      <c r="A37" s="264"/>
      <c r="B37" s="443" t="s">
        <v>35</v>
      </c>
      <c r="C37" s="480">
        <v>130.01924655077005</v>
      </c>
      <c r="D37" s="480">
        <v>270.29743577161128</v>
      </c>
      <c r="E37" s="480">
        <v>11.827964718546037</v>
      </c>
      <c r="F37" s="480">
        <v>87.902954631584109</v>
      </c>
      <c r="G37" s="485">
        <v>70.300755899999984</v>
      </c>
      <c r="H37" s="482">
        <v>570.34835757251142</v>
      </c>
    </row>
    <row r="38" spans="1:9" s="5" customFormat="1" ht="15" customHeight="1" thickBot="1">
      <c r="A38" s="264"/>
      <c r="B38" s="442" t="s">
        <v>647</v>
      </c>
      <c r="C38" s="481">
        <v>0</v>
      </c>
      <c r="D38" s="481">
        <v>2537.558399</v>
      </c>
      <c r="E38" s="481">
        <v>21.020882</v>
      </c>
      <c r="F38" s="481">
        <v>0</v>
      </c>
      <c r="G38" s="484">
        <v>0</v>
      </c>
      <c r="H38" s="482">
        <v>2558.5792809999998</v>
      </c>
    </row>
    <row r="39" spans="1:9" s="5" customFormat="1" ht="15" customHeight="1" thickBot="1">
      <c r="A39" s="264"/>
      <c r="B39" s="443" t="s">
        <v>96</v>
      </c>
      <c r="C39" s="480">
        <v>40.951775608367647</v>
      </c>
      <c r="D39" s="480">
        <v>56.566325617714725</v>
      </c>
      <c r="E39" s="480">
        <v>0</v>
      </c>
      <c r="F39" s="480">
        <v>0</v>
      </c>
      <c r="G39" s="485">
        <v>0</v>
      </c>
      <c r="H39" s="482">
        <v>97.518101226082365</v>
      </c>
    </row>
    <row r="40" spans="1:9" s="5" customFormat="1" ht="18" customHeight="1" thickBot="1">
      <c r="A40" s="264"/>
      <c r="B40" s="440" t="s">
        <v>54</v>
      </c>
      <c r="C40" s="483">
        <v>9960.8968044301491</v>
      </c>
      <c r="D40" s="483">
        <v>10847.924040782274</v>
      </c>
      <c r="E40" s="483">
        <v>2277.607960834293</v>
      </c>
      <c r="F40" s="483">
        <v>5427.6856541341886</v>
      </c>
      <c r="G40" s="486">
        <v>1732.8423615700001</v>
      </c>
      <c r="H40" s="482">
        <v>30246.956821750911</v>
      </c>
      <c r="I40" s="708"/>
    </row>
    <row r="41" spans="1:9" s="5" customFormat="1" ht="19.5" customHeight="1">
      <c r="A41" s="264"/>
      <c r="B41" s="1119" t="s">
        <v>628</v>
      </c>
      <c r="C41" s="1120"/>
      <c r="D41" s="1120"/>
      <c r="E41" s="1120"/>
      <c r="F41" s="1120"/>
      <c r="G41" s="1120"/>
      <c r="H41" s="402"/>
    </row>
    <row r="42" spans="1:9" s="5" customFormat="1" ht="20.25" customHeight="1">
      <c r="A42" s="264"/>
      <c r="B42" s="1114" t="s">
        <v>629</v>
      </c>
      <c r="C42" s="1114"/>
      <c r="D42" s="1114"/>
      <c r="E42" s="1114"/>
      <c r="F42" s="1114"/>
      <c r="G42" s="1114"/>
      <c r="H42" s="402"/>
    </row>
    <row r="43" spans="1:9" ht="12" customHeight="1">
      <c r="A43" s="263"/>
      <c r="B43" s="1113" t="s">
        <v>277</v>
      </c>
      <c r="C43" s="1113"/>
      <c r="D43" s="1113"/>
      <c r="E43" s="1113"/>
      <c r="F43" s="1113"/>
      <c r="G43" s="1113"/>
      <c r="H43" s="402"/>
    </row>
    <row r="44" spans="1:9" ht="12" customHeight="1">
      <c r="A44" s="263"/>
      <c r="B44" s="263"/>
      <c r="C44" s="263"/>
      <c r="D44" s="263"/>
      <c r="E44" s="263"/>
      <c r="F44" s="263"/>
      <c r="G44" s="263"/>
      <c r="H44" s="263"/>
    </row>
    <row r="45" spans="1:9" ht="12" customHeight="1"/>
    <row r="46" spans="1:9" ht="12" customHeight="1">
      <c r="B46" s="242"/>
      <c r="C46" s="242"/>
      <c r="D46" s="242"/>
      <c r="E46" s="242"/>
      <c r="F46" s="242"/>
      <c r="G46" s="242"/>
      <c r="H46" s="242"/>
    </row>
    <row r="47" spans="1:9" s="5" customFormat="1" ht="15" customHeight="1">
      <c r="B47" s="242"/>
      <c r="C47" s="242"/>
      <c r="D47" s="242"/>
      <c r="E47" s="242"/>
      <c r="F47" s="242"/>
      <c r="G47" s="242"/>
      <c r="H47" s="242"/>
    </row>
    <row r="48" spans="1:9">
      <c r="B48" s="242"/>
      <c r="C48" s="242"/>
      <c r="D48" s="242"/>
      <c r="E48" s="242"/>
      <c r="F48" s="242"/>
      <c r="G48" s="242"/>
      <c r="H48" s="242"/>
    </row>
    <row r="49" spans="2:8" s="5" customFormat="1" ht="12" customHeight="1">
      <c r="B49" s="242"/>
      <c r="C49" s="242"/>
      <c r="D49" s="242"/>
      <c r="E49" s="242"/>
      <c r="F49" s="242"/>
      <c r="G49" s="242"/>
      <c r="H49" s="242"/>
    </row>
    <row r="51" spans="2:8">
      <c r="C51" s="21"/>
      <c r="D51" s="21"/>
      <c r="E51" s="21"/>
      <c r="F51" s="21"/>
      <c r="G51" s="21"/>
    </row>
    <row r="52" spans="2:8">
      <c r="C52" s="20"/>
      <c r="D52" s="20"/>
      <c r="E52" s="20"/>
      <c r="F52" s="20"/>
      <c r="G52" s="20"/>
      <c r="H52" s="62"/>
    </row>
    <row r="53" spans="2:8">
      <c r="H53" s="42"/>
    </row>
  </sheetData>
  <sheetProtection password="CF4C" sheet="1" objects="1" scenarios="1"/>
  <customSheetViews>
    <customSheetView guid="{E9B43C8C-734F-433D-AD37-344F9303B5CC}" showPageBreaks="1" showGridLines="0" zeroValues="0" showRuler="0" topLeftCell="A33">
      <pane ySplit="16.625" topLeftCell="A37" activePane="bottomLeft"/>
      <selection pane="bottomLeft" activeCell="B48" sqref="B48:H48"/>
      <pageMargins left="0.19685039370078741" right="0.19685039370078741" top="0.59055118110236227" bottom="0.59055118110236227" header="0" footer="0.39370078740157483"/>
      <printOptions horizontalCentered="1"/>
      <pageSetup scale="95" orientation="portrait" r:id="rId1"/>
      <headerFooter alignWithMargins="0"/>
    </customSheetView>
    <customSheetView guid="{9BF398E0-33D8-4E64-94A2-9B7C822C8383}" showPageBreaks="1" showGridLines="0" showRuler="0">
      <pageMargins left="0.19685039370078741" right="0.19685039370078741" top="0.98425196850393704" bottom="0.98425196850393704" header="0" footer="0"/>
      <printOptions horizontalCentered="1"/>
      <pageSetup orientation="portrait" r:id="rId2"/>
      <headerFooter alignWithMargins="0"/>
    </customSheetView>
    <customSheetView guid="{6DCFE324-2DF9-4BB0-88BD-A4AD316C7A9E}" showPageBreaks="1" showGridLines="0" hiddenColumns="1" showRuler="0">
      <pageMargins left="0.19685039370078741" right="0.19685039370078741" top="0.98425196850393704" bottom="0.98425196850393704" header="0" footer="0"/>
      <printOptions horizontalCentered="1"/>
      <pageSetup orientation="portrait" r:id="rId3"/>
      <headerFooter alignWithMargins="0"/>
    </customSheetView>
    <customSheetView guid="{48A744A8-8180-4A3B-8108-49EF41816969}" showGridLines="0" zeroValues="0" showRuler="0" topLeftCell="A40">
      <pane ySplit="14" topLeftCell="A38"/>
      <selection activeCell="B45" sqref="B45:H45"/>
      <rowBreaks count="1" manualBreakCount="1">
        <brk id="48" max="16383" man="1"/>
      </rowBreaks>
      <pageMargins left="0.19685039370078741" right="0.19685039370078741" top="0.98425196850393704" bottom="0.98425196850393704" header="0" footer="0"/>
      <printOptions horizontalCentered="1"/>
      <pageSetup scale="95" orientation="portrait" r:id="rId4"/>
      <headerFooter alignWithMargins="0"/>
    </customSheetView>
    <customSheetView guid="{9E220BD5-A526-40BD-8239-3A0461590922}" showGridLines="0" zeroValues="0" showRuler="0" topLeftCell="A33">
      <pane ySplit="16.625" topLeftCell="A37" activePane="bottomLeft"/>
      <selection pane="bottomLeft" activeCell="B48" sqref="B48:H48"/>
      <pageMargins left="0.19685039370078741" right="0.19685039370078741" top="0.59055118110236227" bottom="0.59055118110236227" header="0" footer="0.39370078740157483"/>
      <printOptions horizontalCentered="1"/>
      <pageSetup scale="95" orientation="portrait" r:id="rId5"/>
      <headerFooter alignWithMargins="0"/>
    </customSheetView>
  </customSheetViews>
  <mergeCells count="6">
    <mergeCell ref="B43:G43"/>
    <mergeCell ref="B4:B5"/>
    <mergeCell ref="H4:H5"/>
    <mergeCell ref="B2:G2"/>
    <mergeCell ref="B41:G41"/>
    <mergeCell ref="B42:G42"/>
  </mergeCells>
  <phoneticPr fontId="9" type="noConversion"/>
  <printOptions horizontalCentered="1"/>
  <pageMargins left="0.19685039370078741" right="0.19685039370078741" top="0.59055118110236227" bottom="0.59055118110236227" header="0" footer="0.39370078740157483"/>
  <pageSetup scale="91" orientation="portrait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72</vt:i4>
      </vt:variant>
      <vt:variant>
        <vt:lpstr>Rangos con nombre</vt:lpstr>
      </vt:variant>
      <vt:variant>
        <vt:i4>64</vt:i4>
      </vt:variant>
    </vt:vector>
  </HeadingPairs>
  <TitlesOfParts>
    <vt:vector size="136" baseType="lpstr">
      <vt:lpstr>1.1</vt:lpstr>
      <vt:lpstr>1.2</vt:lpstr>
      <vt:lpstr>g 1.1</vt:lpstr>
      <vt:lpstr>oldg 1.1 (2)</vt:lpstr>
      <vt:lpstr>1.1d</vt:lpstr>
      <vt:lpstr>1.3</vt:lpstr>
      <vt:lpstr>1.4</vt:lpstr>
      <vt:lpstr>1.5</vt:lpstr>
      <vt:lpstr>1.6</vt:lpstr>
      <vt:lpstr>1.7</vt:lpstr>
      <vt:lpstr>1.8</vt:lpstr>
      <vt:lpstr>1.9</vt:lpstr>
      <vt:lpstr>1.10</vt:lpstr>
      <vt:lpstr>g 1.2</vt:lpstr>
      <vt:lpstr>g1.3</vt:lpstr>
      <vt:lpstr>1.11</vt:lpstr>
      <vt:lpstr>1.12</vt:lpstr>
      <vt:lpstr>1.13</vt:lpstr>
      <vt:lpstr>1.14</vt:lpstr>
      <vt:lpstr>2.1</vt:lpstr>
      <vt:lpstr>2.2</vt:lpstr>
      <vt:lpstr>g2.1</vt:lpstr>
      <vt:lpstr>g2.2</vt:lpstr>
      <vt:lpstr>2.3</vt:lpstr>
      <vt:lpstr>2.4</vt:lpstr>
      <vt:lpstr>2.5</vt:lpstr>
      <vt:lpstr>g2.3</vt:lpstr>
      <vt:lpstr>g2.4</vt:lpstr>
      <vt:lpstr>2.6</vt:lpstr>
      <vt:lpstr>2.7</vt:lpstr>
      <vt:lpstr>2.8</vt:lpstr>
      <vt:lpstr>g2.5 g2.6</vt:lpstr>
      <vt:lpstr>g2.8 g2.9</vt:lpstr>
      <vt:lpstr>3.1</vt:lpstr>
      <vt:lpstr>3.2</vt:lpstr>
      <vt:lpstr>3.3</vt:lpstr>
      <vt:lpstr>3.4</vt:lpstr>
      <vt:lpstr>3.5</vt:lpstr>
      <vt:lpstr>g3.1</vt:lpstr>
      <vt:lpstr>g.3.1 error</vt:lpstr>
      <vt:lpstr>3.6</vt:lpstr>
      <vt:lpstr>3.7</vt:lpstr>
      <vt:lpstr>3.8</vt:lpstr>
      <vt:lpstr> g3.2</vt:lpstr>
      <vt:lpstr>g3.2 2007</vt:lpstr>
      <vt:lpstr>3.9</vt:lpstr>
      <vt:lpstr>g3.3</vt:lpstr>
      <vt:lpstr>3.10</vt:lpstr>
      <vt:lpstr>3.11</vt:lpstr>
      <vt:lpstr> 3.12</vt:lpstr>
      <vt:lpstr> 3.13</vt:lpstr>
      <vt:lpstr>3.14</vt:lpstr>
      <vt:lpstr>3.13b</vt:lpstr>
      <vt:lpstr>3.13 (m3 por s)</vt:lpstr>
      <vt:lpstr> g3.4</vt:lpstr>
      <vt:lpstr>4.1</vt:lpstr>
      <vt:lpstr>4.2 no incluida</vt:lpstr>
      <vt:lpstr>g4.1</vt:lpstr>
      <vt:lpstr>g4.2</vt:lpstr>
      <vt:lpstr>06-07</vt:lpstr>
      <vt:lpstr>Dom</vt:lpstr>
      <vt:lpstr>4.2</vt:lpstr>
      <vt:lpstr> 4.3</vt:lpstr>
      <vt:lpstr>5.1</vt:lpstr>
      <vt:lpstr>5.2</vt:lpstr>
      <vt:lpstr>5.3</vt:lpstr>
      <vt:lpstr>5.4</vt:lpstr>
      <vt:lpstr>5.5</vt:lpstr>
      <vt:lpstr>5.6</vt:lpstr>
      <vt:lpstr>g 5.1</vt:lpstr>
      <vt:lpstr>g 5.2</vt:lpstr>
      <vt:lpstr>5.8</vt:lpstr>
      <vt:lpstr>'2.8'!A_impresión_IM</vt:lpstr>
      <vt:lpstr>' 3.12'!Área_de_impresión</vt:lpstr>
      <vt:lpstr>' 3.13'!Área_de_impresión</vt:lpstr>
      <vt:lpstr>' 4.3'!Área_de_impresión</vt:lpstr>
      <vt:lpstr>' g3.2'!Área_de_impresión</vt:lpstr>
      <vt:lpstr>' g3.4'!Área_de_impresión</vt:lpstr>
      <vt:lpstr>'1.1'!Área_de_impresión</vt:lpstr>
      <vt:lpstr>'1.10'!Área_de_impresión</vt:lpstr>
      <vt:lpstr>'1.11'!Área_de_impresión</vt:lpstr>
      <vt:lpstr>'1.12'!Área_de_impresión</vt:lpstr>
      <vt:lpstr>'1.13'!Área_de_impresión</vt:lpstr>
      <vt:lpstr>'1.14'!Área_de_impresión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'1.7'!Área_de_impresión</vt:lpstr>
      <vt:lpstr>'1.8'!Área_de_impresión</vt:lpstr>
      <vt:lpstr>'1.9'!Área_de_impresión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'2.7'!Área_de_impresión</vt:lpstr>
      <vt:lpstr>'2.8'!Área_de_impresión</vt:lpstr>
      <vt:lpstr>'3.1'!Área_de_impresión</vt:lpstr>
      <vt:lpstr>'3.10'!Área_de_impresión</vt:lpstr>
      <vt:lpstr>'3.11'!Área_de_impresión</vt:lpstr>
      <vt:lpstr>'3.14'!Área_de_impresión</vt:lpstr>
      <vt:lpstr>'3.2'!Área_de_impresión</vt:lpstr>
      <vt:lpstr>'3.3'!Área_de_impresión</vt:lpstr>
      <vt:lpstr>'3.4'!Área_de_impresión</vt:lpstr>
      <vt:lpstr>'3.6'!Área_de_impresión</vt:lpstr>
      <vt:lpstr>'3.8'!Área_de_impresión</vt:lpstr>
      <vt:lpstr>'3.9'!Área_de_impresión</vt:lpstr>
      <vt:lpstr>'4.1'!Área_de_impresión</vt:lpstr>
      <vt:lpstr>'4.2'!Área_de_impresión</vt:lpstr>
      <vt:lpstr>'5.1'!Área_de_impresión</vt:lpstr>
      <vt:lpstr>'5.3'!Área_de_impresión</vt:lpstr>
      <vt:lpstr>'5.4'!Área_de_impresión</vt:lpstr>
      <vt:lpstr>'5.5'!Área_de_impresión</vt:lpstr>
      <vt:lpstr>'5.6'!Área_de_impresión</vt:lpstr>
      <vt:lpstr>'5.8'!Área_de_impresión</vt:lpstr>
      <vt:lpstr>Dom!Área_de_impresión</vt:lpstr>
      <vt:lpstr>'g 1.1'!Área_de_impresión</vt:lpstr>
      <vt:lpstr>'g 1.2'!Área_de_impresión</vt:lpstr>
      <vt:lpstr>'g 5.1'!Área_de_impresión</vt:lpstr>
      <vt:lpstr>'g 5.2'!Área_de_impresión</vt:lpstr>
      <vt:lpstr>'g.3.1 error'!Área_de_impresión</vt:lpstr>
      <vt:lpstr>g1.3!Área_de_impresión</vt:lpstr>
      <vt:lpstr>g2.1!Área_de_impresión</vt:lpstr>
      <vt:lpstr>g2.2!Área_de_impresión</vt:lpstr>
      <vt:lpstr>g2.3!Área_de_impresión</vt:lpstr>
      <vt:lpstr>g2.4!Área_de_impresión</vt:lpstr>
      <vt:lpstr>'g2.5 g2.6'!Área_de_impresión</vt:lpstr>
      <vt:lpstr>'g2.8 g2.9'!Área_de_impresión</vt:lpstr>
      <vt:lpstr>g3.1!Área_de_impresión</vt:lpstr>
      <vt:lpstr>'g3.2 2007'!Área_de_impresión</vt:lpstr>
      <vt:lpstr>g3.3!Área_de_impresión</vt:lpstr>
      <vt:lpstr>g4.1!Área_de_impresión</vt:lpstr>
      <vt:lpstr>'oldg 1.1 (2)'!Área_de_impresión</vt:lpstr>
    </vt:vector>
  </TitlesOfParts>
  <Company>Comisión Nacional del Agua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TABLAS PARA EL DSAPAS</dc:title>
  <dc:creator>ING. JORGE LUIS HERNANDEZ MARMOLEJO</dc:creator>
  <dc:description>version final documento DSAPAS 9/nov/04 entregado</dc:description>
  <cp:lastModifiedBy>mzires</cp:lastModifiedBy>
  <cp:lastPrinted>2010-10-25T16:55:11Z</cp:lastPrinted>
  <dcterms:created xsi:type="dcterms:W3CDTF">2003-07-28T19:51:31Z</dcterms:created>
  <dcterms:modified xsi:type="dcterms:W3CDTF">2010-10-25T16:55:28Z</dcterms:modified>
  <cp:category>PUBLICACIONES</cp:category>
</cp:coreProperties>
</file>